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98" yWindow="557" windowWidth="11574" windowHeight="10868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<sst xmlns="http://schemas.openxmlformats.org/spreadsheetml/2006/main" count="163" uniqueCount="112">
  <si>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</si>
  <si>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</si>
  <si>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</si>
  <si>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</si>
  <si>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</si>
  <si>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</si>
  <si>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</si>
  <si>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</si>
  <si>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</si>
  <si>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</si>
  <si>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</si>
  <si>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</si>
  <si>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</si>
  <si>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</si>
  <si>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</si>
  <si>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</si>
  <si>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</si>
  <si>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</si>
  <si>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</si>
  <si>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</si>
  <si>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</si>
  <si>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</si>
  <si>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</si>
  <si>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</si>
  <si>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</si>
  <si>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</si>
  <si>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</si>
  <si>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</si>
  <si>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</si>
  <si>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</si>
  <si>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</si>
  <si>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</si>
  <si>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</si>
  <si>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</si>
  <si>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</si>
  <si>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</si>
  <si>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</si>
  <si>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</si>
  <si>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</si>
  <si>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</si>
  <si>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</si>
  <si>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</si>
  <si>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</si>
  <si>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</si>
  <si>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</si>
  <si>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</si>
  <si>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</si>
  <si>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</si>
  <si>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</si>
  <si>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</si>
  <si>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</si>
  <si>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</si>
  <si>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</si>
  <si>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</si>
  <si>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</si>
  <si>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</si>
  <si>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</si>
  <si>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</si>
  <si>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</si>
  <si>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</si>
  <si>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</si>
  <si>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</si>
  <si>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</si>
  <si>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</si>
  <si>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</si>
  <si>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</si>
  <si>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</si>
  <si>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</si>
  <si>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</si>
  <si>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</si>
  <si>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</si>
  <si>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</si>
  <si>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</si>
  <si>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</si>
  <si>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</si>
  <si>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</si>
  <si>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</si>
  <si>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</si>
  <si>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</si>
  <si>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</si>
  <si>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</si>
  <si>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</si>
  <si>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</si>
  <si>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</si>
  <si>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</si>
  <si>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</si>
  <si>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</si>
  <si>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</si>
  <si>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</si>
  <si>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</si>
  <si>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</si>
  <si>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</si>
  <si>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</si>
  <si>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</si>
  <si>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</si>
  <si>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</si>
  <si>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</si>
  <si>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</si>
  <si>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</si>
  <si>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</si>
  <si>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</si>
  <si>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</si>
  <si>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</si>
  <si>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</si>
  <si>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</si>
  <si>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</si>
  <si>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</si>
  <si>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</si>
  <si>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План на 10 місяців, тис.грн.</t>
  </si>
  <si>
    <t>Відсоток виконання плану 10 місяців</t>
  </si>
  <si>
    <t>Відхилення від плану 10 місяців, тис.грн.</t>
  </si>
  <si>
    <t>Аналіз використання коштів загального фонду міського бюджету станом на 16.10.2017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</si>
</sst>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2" fillId="0" borderId="0">
      <alignment/>
      <protection/>
    </xf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143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89" fontId="4" fillId="33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2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5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575"/>
          <c:y val="-0.009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395"/>
          <c:w val="0.858"/>
          <c:h val="0.62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157555.5</c:v>
                </c:pt>
                <c:pt idx="1">
                  <c:v>146923</c:v>
                </c:pt>
                <c:pt idx="2">
                  <c:v>2620.6</c:v>
                </c:pt>
                <c:pt idx="3">
                  <c:v>8011.9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108321.20000000004</c:v>
                </c:pt>
                <c:pt idx="1">
                  <c:v>101672.6</c:v>
                </c:pt>
                <c:pt idx="2">
                  <c:v>1485.4</c:v>
                </c:pt>
                <c:pt idx="3">
                  <c:v>5163.200000000035</c:v>
                </c:pt>
              </c:numCache>
            </c:numRef>
          </c:val>
          <c:shape val="box"/>
        </c:ser>
        <c:shape val="box"/>
        <c:axId val="16935022"/>
        <c:axId val="18197471"/>
      </c:bar3DChart>
      <c:catAx>
        <c:axId val="16935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197471"/>
        <c:crosses val="autoZero"/>
        <c:auto val="1"/>
        <c:lblOffset val="100"/>
        <c:tickLblSkip val="1"/>
        <c:noMultiLvlLbl val="0"/>
      </c:catAx>
      <c:valAx>
        <c:axId val="181974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350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9295"/>
          <c:w val="0.28775"/>
          <c:h val="0.0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6"/>
          <c:y val="0.1475"/>
          <c:w val="0.8435"/>
          <c:h val="0.66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649569.2999999999</c:v>
                </c:pt>
                <c:pt idx="1">
                  <c:v>243536.9</c:v>
                </c:pt>
                <c:pt idx="2">
                  <c:v>507366.4</c:v>
                </c:pt>
                <c:pt idx="3">
                  <c:v>92.5</c:v>
                </c:pt>
                <c:pt idx="4">
                  <c:v>27461.5</c:v>
                </c:pt>
                <c:pt idx="5">
                  <c:v>80766.9</c:v>
                </c:pt>
                <c:pt idx="6">
                  <c:v>13998.7</c:v>
                </c:pt>
                <c:pt idx="7">
                  <c:v>19883.299999999912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462624.3</c:v>
                </c:pt>
                <c:pt idx="1">
                  <c:v>175754.50000000003</c:v>
                </c:pt>
                <c:pt idx="2">
                  <c:v>373336.6999999999</c:v>
                </c:pt>
                <c:pt idx="3">
                  <c:v>38.7</c:v>
                </c:pt>
                <c:pt idx="4">
                  <c:v>23166.699999999997</c:v>
                </c:pt>
                <c:pt idx="5">
                  <c:v>47391.899999999994</c:v>
                </c:pt>
                <c:pt idx="6">
                  <c:v>9264.399999999998</c:v>
                </c:pt>
                <c:pt idx="7">
                  <c:v>9425.900000000107</c:v>
                </c:pt>
              </c:numCache>
            </c:numRef>
          </c:val>
          <c:shape val="box"/>
        </c:ser>
        <c:shape val="box"/>
        <c:axId val="29559512"/>
        <c:axId val="64709017"/>
      </c:bar3DChart>
      <c:catAx>
        <c:axId val="29559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709017"/>
        <c:crosses val="autoZero"/>
        <c:auto val="1"/>
        <c:lblOffset val="100"/>
        <c:tickLblSkip val="1"/>
        <c:noMultiLvlLbl val="0"/>
      </c:catAx>
      <c:valAx>
        <c:axId val="647090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595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75"/>
          <c:y val="0.92125"/>
          <c:w val="0.29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9"/>
          <c:y val="-0.0032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275"/>
          <c:w val="0.9295"/>
          <c:h val="0.6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372954.1</c:v>
                </c:pt>
                <c:pt idx="1">
                  <c:v>239505.5</c:v>
                </c:pt>
                <c:pt idx="2">
                  <c:v>372954.1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284286.9000000001</c:v>
                </c:pt>
                <c:pt idx="1">
                  <c:v>180221.2000000001</c:v>
                </c:pt>
                <c:pt idx="2">
                  <c:v>284286.9000000001</c:v>
                </c:pt>
              </c:numCache>
            </c:numRef>
          </c:val>
          <c:shape val="box"/>
        </c:ser>
        <c:shape val="box"/>
        <c:axId val="45510242"/>
        <c:axId val="6938995"/>
      </c:bar3DChart>
      <c:catAx>
        <c:axId val="45510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938995"/>
        <c:crosses val="autoZero"/>
        <c:auto val="1"/>
        <c:lblOffset val="100"/>
        <c:tickLblSkip val="1"/>
        <c:noMultiLvlLbl val="0"/>
      </c:catAx>
      <c:valAx>
        <c:axId val="69389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102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7"/>
          <c:y val="0.9215"/>
          <c:w val="0.26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825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65"/>
          <c:w val="0.87025"/>
          <c:h val="0.589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64823.5</c:v>
                </c:pt>
                <c:pt idx="1">
                  <c:v>52853.899999999994</c:v>
                </c:pt>
                <c:pt idx="2">
                  <c:v>3078.9</c:v>
                </c:pt>
                <c:pt idx="3">
                  <c:v>874.1</c:v>
                </c:pt>
                <c:pt idx="4">
                  <c:v>80.8</c:v>
                </c:pt>
                <c:pt idx="5">
                  <c:v>7935.800000000006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46911.399999999965</c:v>
                </c:pt>
                <c:pt idx="1">
                  <c:v>39153</c:v>
                </c:pt>
                <c:pt idx="2">
                  <c:v>1571.5</c:v>
                </c:pt>
                <c:pt idx="3">
                  <c:v>604.6</c:v>
                </c:pt>
                <c:pt idx="4">
                  <c:v>25.5</c:v>
                </c:pt>
                <c:pt idx="5">
                  <c:v>5556.799999999965</c:v>
                </c:pt>
              </c:numCache>
            </c:numRef>
          </c:val>
          <c:shape val="box"/>
        </c:ser>
        <c:shape val="box"/>
        <c:axId val="62450956"/>
        <c:axId val="25187693"/>
      </c:bar3DChart>
      <c:catAx>
        <c:axId val="62450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187693"/>
        <c:crosses val="autoZero"/>
        <c:auto val="1"/>
        <c:lblOffset val="100"/>
        <c:tickLblSkip val="1"/>
        <c:noMultiLvlLbl val="0"/>
      </c:catAx>
      <c:valAx>
        <c:axId val="251876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509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"/>
          <c:y val="0.92225"/>
          <c:w val="0.280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59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275"/>
          <c:w val="0.86375"/>
          <c:h val="0.63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23911.899999999998</c:v>
                </c:pt>
                <c:pt idx="1">
                  <c:v>15249.4</c:v>
                </c:pt>
                <c:pt idx="2">
                  <c:v>13</c:v>
                </c:pt>
                <c:pt idx="3">
                  <c:v>810.2</c:v>
                </c:pt>
                <c:pt idx="4">
                  <c:v>1062.7</c:v>
                </c:pt>
                <c:pt idx="5">
                  <c:v>518.9</c:v>
                </c:pt>
                <c:pt idx="6">
                  <c:v>6257.699999999999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17136</c:v>
                </c:pt>
                <c:pt idx="1">
                  <c:v>11117.300000000003</c:v>
                </c:pt>
                <c:pt idx="3">
                  <c:v>489.19999999999993</c:v>
                </c:pt>
                <c:pt idx="4">
                  <c:v>556.9000000000001</c:v>
                </c:pt>
                <c:pt idx="5">
                  <c:v>360</c:v>
                </c:pt>
                <c:pt idx="6">
                  <c:v>4612.599999999998</c:v>
                </c:pt>
              </c:numCache>
            </c:numRef>
          </c:val>
          <c:shape val="box"/>
        </c:ser>
        <c:shape val="box"/>
        <c:axId val="25362646"/>
        <c:axId val="26937223"/>
      </c:bar3DChart>
      <c:catAx>
        <c:axId val="25362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937223"/>
        <c:crosses val="autoZero"/>
        <c:auto val="1"/>
        <c:lblOffset val="100"/>
        <c:tickLblSkip val="2"/>
        <c:noMultiLvlLbl val="0"/>
      </c:catAx>
      <c:valAx>
        <c:axId val="269372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626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"/>
          <c:y val="0.923"/>
          <c:w val="0.287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5"/>
          <c:y val="0.1465"/>
          <c:w val="0.87775"/>
          <c:h val="0.65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4316.1</c:v>
                </c:pt>
                <c:pt idx="1">
                  <c:v>2560.7000000000003</c:v>
                </c:pt>
                <c:pt idx="2">
                  <c:v>343.70000000000005</c:v>
                </c:pt>
                <c:pt idx="3">
                  <c:v>412.90000000000003</c:v>
                </c:pt>
                <c:pt idx="4">
                  <c:v>307.0999999999999</c:v>
                </c:pt>
                <c:pt idx="5">
                  <c:v>691.7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3005.3</c:v>
                </c:pt>
                <c:pt idx="1">
                  <c:v>1940.5000000000002</c:v>
                </c:pt>
                <c:pt idx="2">
                  <c:v>337</c:v>
                </c:pt>
                <c:pt idx="3">
                  <c:v>217.29999999999998</c:v>
                </c:pt>
                <c:pt idx="4">
                  <c:v>89.8</c:v>
                </c:pt>
                <c:pt idx="5">
                  <c:v>420.70000000000005</c:v>
                </c:pt>
              </c:numCache>
            </c:numRef>
          </c:val>
          <c:shape val="box"/>
        </c:ser>
        <c:shape val="box"/>
        <c:axId val="41108416"/>
        <c:axId val="34431425"/>
      </c:bar3DChart>
      <c:catAx>
        <c:axId val="41108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431425"/>
        <c:crosses val="autoZero"/>
        <c:auto val="1"/>
        <c:lblOffset val="100"/>
        <c:tickLblSkip val="1"/>
        <c:noMultiLvlLbl val="0"/>
      </c:catAx>
      <c:valAx>
        <c:axId val="344314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084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25"/>
          <c:y val="0.924"/>
          <c:w val="0.289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7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3975"/>
          <c:w val="0.85725"/>
          <c:h val="0.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54445.700000000004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45170.90000000001</c:v>
                </c:pt>
              </c:numCache>
            </c:numRef>
          </c:val>
          <c:shape val="box"/>
        </c:ser>
        <c:shape val="box"/>
        <c:axId val="41447370"/>
        <c:axId val="37482011"/>
      </c:bar3DChart>
      <c:catAx>
        <c:axId val="41447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7482011"/>
        <c:crosses val="autoZero"/>
        <c:auto val="1"/>
        <c:lblOffset val="100"/>
        <c:tickLblSkip val="1"/>
        <c:noMultiLvlLbl val="0"/>
      </c:catAx>
      <c:valAx>
        <c:axId val="374820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473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92425"/>
          <c:w val="0.29225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275"/>
          <c:y val="-0.00175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325"/>
          <c:w val="0.851"/>
          <c:h val="0.58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649569.2999999999</c:v>
                </c:pt>
                <c:pt idx="1">
                  <c:v>372954.1</c:v>
                </c:pt>
                <c:pt idx="2">
                  <c:v>64823.5</c:v>
                </c:pt>
                <c:pt idx="3">
                  <c:v>23911.899999999998</c:v>
                </c:pt>
                <c:pt idx="4">
                  <c:v>4316.1</c:v>
                </c:pt>
                <c:pt idx="5">
                  <c:v>157555.5</c:v>
                </c:pt>
                <c:pt idx="6">
                  <c:v>54445.700000000004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462624.3</c:v>
                </c:pt>
                <c:pt idx="1">
                  <c:v>284286.9000000001</c:v>
                </c:pt>
                <c:pt idx="2">
                  <c:v>46911.399999999965</c:v>
                </c:pt>
                <c:pt idx="3">
                  <c:v>17136</c:v>
                </c:pt>
                <c:pt idx="4">
                  <c:v>3005.3</c:v>
                </c:pt>
                <c:pt idx="5">
                  <c:v>108321.20000000004</c:v>
                </c:pt>
                <c:pt idx="6">
                  <c:v>45170.90000000001</c:v>
                </c:pt>
              </c:numCache>
            </c:numRef>
          </c:val>
          <c:shape val="box"/>
        </c:ser>
        <c:shape val="box"/>
        <c:axId val="1793780"/>
        <c:axId val="16144021"/>
      </c:bar3DChart>
      <c:catAx>
        <c:axId val="1793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144021"/>
        <c:crosses val="autoZero"/>
        <c:auto val="1"/>
        <c:lblOffset val="100"/>
        <c:tickLblSkip val="1"/>
        <c:noMultiLvlLbl val="0"/>
      </c:catAx>
      <c:valAx>
        <c:axId val="161440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37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175"/>
          <c:y val="0.8915"/>
          <c:w val="0.28575"/>
          <c:h val="0.0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275"/>
          <c:y val="-0.0032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75"/>
          <c:y val="0.15975"/>
          <c:w val="0.84125"/>
          <c:h val="0.64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фінансування'!$C$152:$C$157</c:f>
              <c:numCache>
                <c:ptCount val="6"/>
                <c:pt idx="0">
                  <c:v>737272.2999999999</c:v>
                </c:pt>
                <c:pt idx="1">
                  <c:v>102533.8</c:v>
                </c:pt>
                <c:pt idx="2">
                  <c:v>28689.7</c:v>
                </c:pt>
                <c:pt idx="3">
                  <c:v>25978.7</c:v>
                </c:pt>
                <c:pt idx="4">
                  <c:v>106.9</c:v>
                </c:pt>
                <c:pt idx="5">
                  <c:v>980789.0999999997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фінансування'!$D$152:$D$157</c:f>
              <c:numCache>
                <c:ptCount val="6"/>
                <c:pt idx="0">
                  <c:v>536643.8999999998</c:v>
                </c:pt>
                <c:pt idx="1">
                  <c:v>60239.50000000001</c:v>
                </c:pt>
                <c:pt idx="2">
                  <c:v>24036.6</c:v>
                </c:pt>
                <c:pt idx="3">
                  <c:v>15688.899999999994</c:v>
                </c:pt>
                <c:pt idx="4">
                  <c:v>39.5</c:v>
                </c:pt>
                <c:pt idx="5">
                  <c:v>710274.6000000004</c:v>
                </c:pt>
              </c:numCache>
            </c:numRef>
          </c:val>
          <c:shape val="box"/>
        </c:ser>
        <c:shape val="box"/>
        <c:axId val="11078462"/>
        <c:axId val="32597295"/>
      </c:bar3DChart>
      <c:catAx>
        <c:axId val="11078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597295"/>
        <c:crosses val="autoZero"/>
        <c:auto val="1"/>
        <c:lblOffset val="100"/>
        <c:tickLblSkip val="1"/>
        <c:noMultiLvlLbl val="0"/>
      </c:catAx>
      <c:valAx>
        <c:axId val="325972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784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91175"/>
          <c:w val="0.2907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647700</xdr:colOff>
      <xdr:row>33</xdr:row>
      <xdr:rowOff>133350</xdr:rowOff>
    </xdr:to>
    <xdr:graphicFrame>
      <xdr:nvGraphicFramePr>
        <xdr:cNvPr id="1" name="Диаграмма 1"/>
        <xdr:cNvGraphicFramePr/>
      </xdr:nvGraphicFramePr>
      <xdr:xfrm>
        <a:off x="47625" y="66675"/>
        <a:ext cx="1157287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133350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76275"/>
        <a:ext cx="86106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123825</xdr:rowOff>
    </xdr:to>
    <xdr:graphicFrame>
      <xdr:nvGraphicFramePr>
        <xdr:cNvPr id="1" name="Диаграмма 2"/>
        <xdr:cNvGraphicFramePr/>
      </xdr:nvGraphicFramePr>
      <xdr:xfrm>
        <a:off x="66675" y="390525"/>
        <a:ext cx="1037272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47625</xdr:colOff>
      <xdr:row>34</xdr:row>
      <xdr:rowOff>123825</xdr:rowOff>
    </xdr:to>
    <xdr:graphicFrame>
      <xdr:nvGraphicFramePr>
        <xdr:cNvPr id="1" name="Диаграмма 1"/>
        <xdr:cNvGraphicFramePr/>
      </xdr:nvGraphicFramePr>
      <xdr:xfrm>
        <a:off x="0" y="361950"/>
        <a:ext cx="105346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6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125" defaultRowHeight="12.75"/>
  <cols>
    <col min="1" max="1" width="66.875" style="29" customWidth="1"/>
    <col min="2" max="2" width="19.00390625" style="29" customWidth="1"/>
    <col min="3" max="3" width="18.50390625" style="11" customWidth="1"/>
    <col min="4" max="4" width="19.00390625" style="11" customWidth="1"/>
    <col min="5" max="5" width="17.375" style="11" customWidth="1"/>
    <col min="6" max="7" width="19.50390625" style="11" customWidth="1"/>
    <col min="8" max="8" width="19.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50390625" style="11" bestFit="1" customWidth="1"/>
    <col min="13" max="16384" width="9.125" style="11" customWidth="1"/>
  </cols>
  <sheetData>
    <row r="1" spans="1:9" ht="30">
      <c r="A1" s="136" t="s">
        <v>111</v>
      </c>
      <c r="B1" s="136"/>
      <c r="C1" s="136"/>
      <c r="D1" s="136"/>
      <c r="E1" s="136"/>
      <c r="F1" s="136"/>
      <c r="G1" s="136"/>
      <c r="H1" s="136"/>
      <c r="I1" s="136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40" t="s">
        <v>41</v>
      </c>
      <c r="B3" s="137" t="s">
        <v>108</v>
      </c>
      <c r="C3" s="137" t="s">
        <v>90</v>
      </c>
      <c r="D3" s="137" t="s">
        <v>23</v>
      </c>
      <c r="E3" s="137" t="s">
        <v>22</v>
      </c>
      <c r="F3" s="137" t="s">
        <v>109</v>
      </c>
      <c r="G3" s="137" t="s">
        <v>92</v>
      </c>
      <c r="H3" s="137" t="s">
        <v>110</v>
      </c>
      <c r="I3" s="137" t="s">
        <v>91</v>
      </c>
    </row>
    <row r="4" spans="1:9" ht="24.75" customHeight="1">
      <c r="A4" s="141"/>
      <c r="B4" s="138"/>
      <c r="C4" s="138"/>
      <c r="D4" s="138"/>
      <c r="E4" s="138"/>
      <c r="F4" s="138"/>
      <c r="G4" s="138"/>
      <c r="H4" s="138"/>
      <c r="I4" s="138"/>
    </row>
    <row r="5" spans="1:9" ht="39" customHeight="1" thickBot="1">
      <c r="A5" s="142"/>
      <c r="B5" s="139"/>
      <c r="C5" s="139"/>
      <c r="D5" s="139"/>
      <c r="E5" s="139"/>
      <c r="F5" s="139"/>
      <c r="G5" s="139"/>
      <c r="H5" s="139"/>
      <c r="I5" s="139"/>
    </row>
    <row r="6" spans="1:9" ht="18.75" thickBot="1">
      <c r="A6" s="22" t="s">
        <v>27</v>
      </c>
      <c r="B6" s="45">
        <v>534200.5</v>
      </c>
      <c r="C6" s="46">
        <f>625865.1-190.4-316.9+47.1+50+198+5366.4+2952+4818.2+150+808.5-0.1-255.7+10077.1</f>
        <v>649569.2999999999</v>
      </c>
      <c r="D6" s="47">
        <f>13522.8+199.8+351+3.4+1.2+14658+9356.3+1168.4+403.4+43.4+23+194.4+502.3+461.6+16471.9+946.1+4113.7+1906.3+1145.7+13071.9+14499.5+2217+39.1+0.3+3404.9+3295.8+35.7+414.5+17321.2+49.6+892.3+881.9+3049.4+879.6+2137.7+1.1+113.2+23136.9+2610.9+142.4+2.7-0.3+2656.1+417.8+15.6+508.1+4161.5+10062.1+8571.6+148.7+636.7+56+784.8+595+869.5+10293.3+13742.9+140.3+827.7+1236.3+265+1268.8+15534.8+1302.5+286+428.4+1552.3+442.8+543+160.5+19088.9+16858.4+0.5-0.4+9378.9+533.8+67.6+218+1759.2+23001.7+12551.4+270+11.5+368.1+465.7+88.7+344.2+50+8771.1+1063.2+22747.5+0.7-2-1.1+117.9+1001.8+145.8+258.5+281.6+150.9+90.4+6968.6+422+814.3+1+19.2+40.1+26.3+939.8+4538.1+733.2+3537.6+24.9+131+376.8+35.4+105.8+117+93+3179.6+5641.3+44.7+341.3+226.2+71.3+204.4+196.8+17509.3+115+469.9-20+0.2+61+463.6+581.6+153.1+15631+107.2+1003.9+0.4+347.9+724.1+1512.3+733.4+10763.4+10898.3+2491.5+321.4+180.3+1483.5+12111.7+5218+72</f>
        <v>462624.3</v>
      </c>
      <c r="E6" s="3">
        <f>D6/D151*100</f>
        <v>34.34675181877508</v>
      </c>
      <c r="F6" s="3">
        <f>D6/B6*100</f>
        <v>86.6012480332759</v>
      </c>
      <c r="G6" s="3">
        <f aca="true" t="shared" si="0" ref="G6:G43">D6/C6*100</f>
        <v>71.22016080501342</v>
      </c>
      <c r="H6" s="47">
        <f>B6-D6</f>
        <v>71576.20000000001</v>
      </c>
      <c r="I6" s="47">
        <f aca="true" t="shared" si="1" ref="I6:I43">C6-D6</f>
        <v>186944.99999999994</v>
      </c>
    </row>
    <row r="7" spans="1:9" s="37" customFormat="1" ht="18">
      <c r="A7" s="104" t="s">
        <v>82</v>
      </c>
      <c r="B7" s="97">
        <v>205071.3</v>
      </c>
      <c r="C7" s="94">
        <f>243287.4+47.1+202.4</f>
        <v>243536.9</v>
      </c>
      <c r="D7" s="105">
        <f>6699.4+11261.7+10.2+8073.8+9792.3+0.1+0.8+7352+6.6+10108.4-0.1+7942.1+9848.6-0.1+7861.7+17351.9+0.1+8976.7+21107.4+3648.1+8478-0.1+422+40.1+569.1+2781.8+7228.1+78.7+0.1+7673+92.1+10319.7+9.3+8020.9</f>
        <v>175754.50000000003</v>
      </c>
      <c r="E7" s="95">
        <f>D7/D6*100</f>
        <v>37.99076269880333</v>
      </c>
      <c r="F7" s="95">
        <f>D7/B7*100</f>
        <v>85.7040941370148</v>
      </c>
      <c r="G7" s="95">
        <f>D7/C7*100</f>
        <v>72.16750315865893</v>
      </c>
      <c r="H7" s="105">
        <f>B7-D7</f>
        <v>29316.79999999996</v>
      </c>
      <c r="I7" s="105">
        <f t="shared" si="1"/>
        <v>67782.39999999997</v>
      </c>
    </row>
    <row r="8" spans="1:9" ht="18">
      <c r="A8" s="23" t="s">
        <v>3</v>
      </c>
      <c r="B8" s="42">
        <v>421927.1</v>
      </c>
      <c r="C8" s="43">
        <f>487771.7+47.1+4992.2+4503.5+174-122.1+10000</f>
        <v>507366.4</v>
      </c>
      <c r="D8" s="44">
        <f>12945+14658+9353.4+10.2+0.1+7+16015+13071.9+6973.3+1906+3.4+7.6+13882.5+6.6+747.5+21101.8+2656.1+15.6+10047+6403+9848.6+12369.9+15042.4+0.7+17351.9+16553.3+0.1+9378.9+22855.5+11721.1+270+8478+22599.8+2+989.5+16.6+1.8+422+6968.6+4198.7+594.8+3498.7+0.1+131+2781.8+4830.6+16812+78.7+0.1+61+2+15631+10273.9+10783.6+2491.5+11267.5+5218</f>
        <v>373336.6999999999</v>
      </c>
      <c r="E8" s="1">
        <f>D8/D6*100</f>
        <v>80.69976004286846</v>
      </c>
      <c r="F8" s="1">
        <f>D8/B8*100</f>
        <v>88.4836977762272</v>
      </c>
      <c r="G8" s="1">
        <f t="shared" si="0"/>
        <v>73.58325265528026</v>
      </c>
      <c r="H8" s="44">
        <f>B8-D8</f>
        <v>48590.40000000008</v>
      </c>
      <c r="I8" s="44">
        <f t="shared" si="1"/>
        <v>134029.70000000013</v>
      </c>
    </row>
    <row r="9" spans="1:9" ht="18">
      <c r="A9" s="23" t="s">
        <v>2</v>
      </c>
      <c r="B9" s="42">
        <v>90.5</v>
      </c>
      <c r="C9" s="43">
        <v>92.5</v>
      </c>
      <c r="D9" s="44">
        <f>2.5+4.3+3.3+7+0.4+1.3+1.6+1.3+1.5-0.1+0.8+5.1+2.1+0.8+4.5+2.3</f>
        <v>38.7</v>
      </c>
      <c r="E9" s="12">
        <f>D9/D6*100</f>
        <v>0.008365319331474805</v>
      </c>
      <c r="F9" s="119">
        <f>D9/B9*100</f>
        <v>42.76243093922652</v>
      </c>
      <c r="G9" s="1">
        <f t="shared" si="0"/>
        <v>41.837837837837846</v>
      </c>
      <c r="H9" s="44">
        <f aca="true" t="shared" si="2" ref="H9:H43">B9-D9</f>
        <v>51.8</v>
      </c>
      <c r="I9" s="44">
        <f t="shared" si="1"/>
        <v>53.8</v>
      </c>
    </row>
    <row r="10" spans="1:9" ht="18">
      <c r="A10" s="23" t="s">
        <v>1</v>
      </c>
      <c r="B10" s="42">
        <v>24480.4</v>
      </c>
      <c r="C10" s="43">
        <f>27822.4-190.4-170.5</f>
        <v>27461.5</v>
      </c>
      <c r="D10" s="48">
        <f>577.8+199.8+74.7+2.9+214.2+13.4+43.4+23+50.5+482.2+461.6+80.5+165.5+636+126.3+890.8+56.1+6.4+310.6+696.5+21.5+413.5+205.4+11.4+138.6+464+46.3+91.5+423.6+320.5+131.4+1.4-0.2+414.9+354.8+710.5+15.1+69.4+70.2+27.7+56+270+285.7+197.8+280.3+27-0.1+1021.5+165.5+347.2+151.6+529.6+272.9+413.9+572.8+139.4+499.7+159.8+295.7+243.4+0.2+263+1167.5+18.8+773.9+10.5+3.7+87.8+8.4+0.8+111.3+0.3+12.6+133.2+9.7+6.4+88.6+28+6.9+12.5+8.5+0.1+183.6+105.8+213.2+110.8+44.7+132.4+0.1+0.7+362.7+406+151.1+101.8+611.6+12.3+6+654.8+272.9+224.8+91.3+321.4+142.9+830.4+401.6+57.7</f>
        <v>23166.699999999997</v>
      </c>
      <c r="E10" s="1">
        <f>D10/D6*100</f>
        <v>5.007670370968407</v>
      </c>
      <c r="F10" s="1">
        <f aca="true" t="shared" si="3" ref="F10:F41">D10/B10*100</f>
        <v>94.6336661165667</v>
      </c>
      <c r="G10" s="1">
        <f t="shared" si="0"/>
        <v>84.36065036505653</v>
      </c>
      <c r="H10" s="44">
        <f t="shared" si="2"/>
        <v>1313.7000000000044</v>
      </c>
      <c r="I10" s="44">
        <f t="shared" si="1"/>
        <v>4294.800000000003</v>
      </c>
    </row>
    <row r="11" spans="1:9" ht="18">
      <c r="A11" s="23" t="s">
        <v>0</v>
      </c>
      <c r="B11" s="42">
        <v>59098.9</v>
      </c>
      <c r="C11" s="43">
        <f>80900.5-133.6</f>
        <v>80766.9</v>
      </c>
      <c r="D11" s="49">
        <f>143.9+390+0.1+142.7+13.1+169.2+704.4+3378.9+1906.3+468.5+6301.9+20.7+31.8+0.1+3059.4+2301.7+3149.2+438.7+2370.2+711.7+2057.8+893.1+2232.6+125.5+3192.3+1926.4+62.4+643.2+81.8+374+224.4+1074.6+1.3+774.7+205.1+99.5+800.2+37.4+750.1+11+129.2+176.3+12.3+1143.6+44.2-0.1+230.3+1.4+210.1+478.9+1.7+0.5+11.1+12.6+0.3+35.7+40.8+536.6+50+0.7+12.3+66+113.7+68.2+112.3+193.8+1+1.6+26.3+331.1+58.8+49.7+11.9+0.3+14.5+23.3+10.6+164.1+6.2+2+76.1+9.8+20.6+30.4+338.1+7.6-7.7+69.8+36.7+105.4+0.4+78+81.2+311.5+17.7+176.5+7.6+28.7+139+210.7</f>
        <v>47391.899999999994</v>
      </c>
      <c r="E11" s="1">
        <f>D11/D6*100</f>
        <v>10.244144114349375</v>
      </c>
      <c r="F11" s="1">
        <f t="shared" si="3"/>
        <v>80.1908326550917</v>
      </c>
      <c r="G11" s="1">
        <f t="shared" si="0"/>
        <v>58.6773789757933</v>
      </c>
      <c r="H11" s="44">
        <f t="shared" si="2"/>
        <v>11707.000000000007</v>
      </c>
      <c r="I11" s="44">
        <f t="shared" si="1"/>
        <v>33375</v>
      </c>
    </row>
    <row r="12" spans="1:9" ht="18">
      <c r="A12" s="23" t="s">
        <v>14</v>
      </c>
      <c r="B12" s="42">
        <f>11379.6-29.9</f>
        <v>11349.7</v>
      </c>
      <c r="C12" s="43">
        <f>14045.5-16.9-29.9</f>
        <v>13998.7</v>
      </c>
      <c r="D12" s="44">
        <f>276.3+3.4+1.2+766.5+1.2+207.2+488.1+284.1+207.8+0.1+1.2+2.8+9+434.7+164.8+490.2+0.8+3.6+1.2+150.2+3.6+534.8+237.6+35.2+0.2+10.9+298.8+1.2+661.3+35.2+0.5+0.1+44.4+1.2+436.4+226+367.5+10+125.1+50.5+1.3+9.1+238.6+544+41.1+1.2+5.4+577.1+113.5+50.5+20.2+5.4+92+306.4+390.8+273.3+1.8+8.7+9.1</f>
        <v>9264.399999999998</v>
      </c>
      <c r="E12" s="1">
        <f>D12/D6*100</f>
        <v>2.002575307868609</v>
      </c>
      <c r="F12" s="1">
        <f t="shared" si="3"/>
        <v>81.62682714080546</v>
      </c>
      <c r="G12" s="1">
        <f t="shared" si="0"/>
        <v>66.18043104002513</v>
      </c>
      <c r="H12" s="44">
        <f t="shared" si="2"/>
        <v>2085.300000000003</v>
      </c>
      <c r="I12" s="44">
        <f t="shared" si="1"/>
        <v>4734.300000000003</v>
      </c>
    </row>
    <row r="13" spans="1:9" ht="18.75" thickBot="1">
      <c r="A13" s="23" t="s">
        <v>28</v>
      </c>
      <c r="B13" s="43">
        <f>B6-B8-B9-B10-B11-B12</f>
        <v>17253.900000000027</v>
      </c>
      <c r="C13" s="43">
        <f>C6-C8-C9-C10-C11-C12</f>
        <v>19883.299999999912</v>
      </c>
      <c r="D13" s="43">
        <f>D6-D8-D9-D10-D11-D12</f>
        <v>9425.900000000107</v>
      </c>
      <c r="E13" s="1">
        <f>D13/D6*100</f>
        <v>2.037484844613676</v>
      </c>
      <c r="F13" s="1">
        <f t="shared" si="3"/>
        <v>54.63054729655378</v>
      </c>
      <c r="G13" s="1">
        <f t="shared" si="0"/>
        <v>47.4061146791536</v>
      </c>
      <c r="H13" s="44">
        <f t="shared" si="2"/>
        <v>7827.99999999992</v>
      </c>
      <c r="I13" s="44">
        <f t="shared" si="1"/>
        <v>10457.399999999805</v>
      </c>
    </row>
    <row r="14" spans="1:13" s="37" customFormat="1" ht="18.75" customHeight="1" hidden="1">
      <c r="A14" s="96" t="s">
        <v>62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  <c r="K14" s="11"/>
      <c r="L14" s="11"/>
      <c r="M14" s="11"/>
    </row>
    <row r="15" spans="1:13" s="37" customFormat="1" ht="18.75" customHeight="1" hidden="1">
      <c r="A15" s="96" t="s">
        <v>59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  <c r="K15" s="11"/>
      <c r="L15" s="11"/>
      <c r="M15" s="11"/>
    </row>
    <row r="16" spans="1:13" s="37" customFormat="1" ht="18.75" hidden="1" thickBot="1">
      <c r="A16" s="96" t="s">
        <v>60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  <c r="K16" s="11"/>
      <c r="L16" s="11"/>
      <c r="M16" s="11"/>
    </row>
    <row r="17" spans="1:13" s="37" customFormat="1" ht="18.75" hidden="1" thickBot="1">
      <c r="A17" s="96" t="s">
        <v>61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  <c r="K17" s="11"/>
      <c r="L17" s="11"/>
      <c r="M17" s="11"/>
    </row>
    <row r="18" spans="1:9" ht="18.75" thickBot="1">
      <c r="A18" s="22" t="s">
        <v>19</v>
      </c>
      <c r="B18" s="45">
        <f>324958.4-4078.3-2836-1734.2</f>
        <v>316309.9</v>
      </c>
      <c r="C18" s="46">
        <f>329127.1+600+14307.6+200+1333.8+15842.2+1513.4+30+10000</f>
        <v>372954.1</v>
      </c>
      <c r="D18" s="47">
        <f>7750.2+16091.8+509.8+21.4+337.2+206.3+9326.4+708.9+873+242.1+3327.1+2.3+17653.4+33.8-2.1+533.8+30.7+490.1+11915.5+3423.1+24.3+167.7+3429.8+14147.8+57.6+1.8+36.5+3469.9+24.5+9514.8+2039.4+634+1548+13955+0.1+398.3+903+11114.4+342.6+1567+8098.2+8184.5+2770.2+13.8+1016.9+9915.8+1.4+1307.4+84.3+18046.3+999.4+43.6+0.7+1050.3+10878.7+151.1+885.5+273.8+65.5+1552.2+269.1+1806+7098.6+5175.7-42.1-0.1+48.5+761.1+698.1+11570.3+353.8+94.6+1111.8+6.2+7.4+35.8+1238.7+13432.6+6+0.1+254.3+229.8+29.4+124.1+36+1194.7+6.6+7715.4+1781.2+5.1+942+15.4+1291+22.4+4234+9891.5+7.9+736.2+410+0.2+580.2+8916.4</f>
        <v>284286.9000000001</v>
      </c>
      <c r="E18" s="3">
        <f>D18/D151*100</f>
        <v>21.106395837030036</v>
      </c>
      <c r="F18" s="3">
        <f>D18/B18*100</f>
        <v>89.87606774242603</v>
      </c>
      <c r="G18" s="3">
        <f t="shared" si="0"/>
        <v>76.2257071312529</v>
      </c>
      <c r="H18" s="47">
        <f>B18-D18</f>
        <v>32022.99999999994</v>
      </c>
      <c r="I18" s="47">
        <f t="shared" si="1"/>
        <v>88667.1999999999</v>
      </c>
    </row>
    <row r="19" spans="1:13" s="37" customFormat="1" ht="18">
      <c r="A19" s="104" t="s">
        <v>83</v>
      </c>
      <c r="B19" s="97">
        <v>199792.8</v>
      </c>
      <c r="C19" s="94">
        <f>238249.5+1256</f>
        <v>239505.5</v>
      </c>
      <c r="D19" s="105">
        <f>7750.2+9045.4-324.4+287.3+8839.2+63.1+167.7+672.4+2.3+8064+287.9+29.4+0.1+353.7+16.6+490.1+8886.5+888+91.8+1141.4+7667.3+57.6+1.8+36.5-0.1+486.8+9514.8+831.1+1390.3+7339.1+50.1+262.3+9505.1+342.6+775.5+7463+6.8+203.4+13.8+367.4+9915.8+1.4+774.1+84.3+12899.7+65.6-0.1+468.6+10878.7+885.5+1.9+65.5+233.1+500.5+7098.6-42.1+342.7+11233+0.5+94.6+517.7+529.4+9922.2+0.2+29.4+36+844.6+6.6+7336+1781.2+606.6+15.4+844.2+4234+4530+7.9+410</f>
        <v>180221.2000000001</v>
      </c>
      <c r="E19" s="95">
        <f>D19/D18*100</f>
        <v>63.39412755213133</v>
      </c>
      <c r="F19" s="95">
        <f t="shared" si="3"/>
        <v>90.20405139724761</v>
      </c>
      <c r="G19" s="95">
        <f t="shared" si="0"/>
        <v>75.24720726663901</v>
      </c>
      <c r="H19" s="105">
        <f t="shared" si="2"/>
        <v>19571.59999999989</v>
      </c>
      <c r="I19" s="105">
        <f t="shared" si="1"/>
        <v>59284.2999999999</v>
      </c>
      <c r="K19" s="132"/>
      <c r="L19" s="11"/>
      <c r="M19" s="11"/>
    </row>
    <row r="20" spans="1:11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  <c r="K20" s="132"/>
    </row>
    <row r="21" spans="1:11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  <c r="K21" s="132"/>
    </row>
    <row r="22" spans="1:11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  <c r="K22" s="132"/>
    </row>
    <row r="23" spans="1:11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  <c r="K23" s="132"/>
    </row>
    <row r="24" spans="1:11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  <c r="K24" s="132"/>
    </row>
    <row r="25" spans="1:11" ht="18.75" thickBot="1">
      <c r="A25" s="23" t="s">
        <v>28</v>
      </c>
      <c r="B25" s="43">
        <f>B18</f>
        <v>316309.9</v>
      </c>
      <c r="C25" s="43">
        <f>C18</f>
        <v>372954.1</v>
      </c>
      <c r="D25" s="43">
        <f>D18</f>
        <v>284286.9000000001</v>
      </c>
      <c r="E25" s="1">
        <f>D25/D18*100</f>
        <v>100</v>
      </c>
      <c r="F25" s="1">
        <f t="shared" si="3"/>
        <v>89.87606774242603</v>
      </c>
      <c r="G25" s="1">
        <f t="shared" si="0"/>
        <v>76.2257071312529</v>
      </c>
      <c r="H25" s="44">
        <f t="shared" si="2"/>
        <v>32022.99999999994</v>
      </c>
      <c r="I25" s="44">
        <f t="shared" si="1"/>
        <v>88667.1999999999</v>
      </c>
      <c r="K25" s="132"/>
    </row>
    <row r="26" spans="1:11" ht="55.5" hidden="1" thickBot="1">
      <c r="A26" s="96" t="s">
        <v>70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  <c r="K26" s="132"/>
    </row>
    <row r="27" spans="1:11" ht="36.75" customHeight="1" hidden="1">
      <c r="A27" s="96" t="s">
        <v>71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  <c r="K27" s="132"/>
    </row>
    <row r="28" spans="1:11" ht="18.75" hidden="1" thickBot="1">
      <c r="A28" s="96" t="s">
        <v>72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  <c r="K28" s="132"/>
    </row>
    <row r="29" spans="1:11" ht="39.75" customHeight="1" hidden="1">
      <c r="A29" s="96" t="s">
        <v>73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  <c r="K29" s="132"/>
    </row>
    <row r="30" spans="1:11" ht="37.5" customHeight="1" hidden="1">
      <c r="A30" s="96" t="s">
        <v>74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  <c r="K30" s="132"/>
    </row>
    <row r="31" spans="1:11" ht="36" customHeight="1" hidden="1">
      <c r="A31" s="96" t="s">
        <v>75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  <c r="K31" s="132"/>
    </row>
    <row r="32" spans="1:11" ht="18.75" hidden="1" thickBot="1">
      <c r="A32" s="96" t="s">
        <v>76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  <c r="K32" s="132"/>
    </row>
    <row r="33" spans="1:11" ht="18.75" thickBot="1">
      <c r="A33" s="22" t="s">
        <v>17</v>
      </c>
      <c r="B33" s="45">
        <v>53255.6</v>
      </c>
      <c r="C33" s="46">
        <f>67303.3-3099.2+301.7+44-104+255.7+122</f>
        <v>64823.5</v>
      </c>
      <c r="D33" s="50">
        <f>1839.2+34.8+165.7+1873.2+1.3+5.1+223.7+77.9+1834.7+29.7+171.2+8.4+128.8+239.3+79.6+50.8+1967+148.5+65.1+168.2+2+195+1854.2+111.8+11.9+51+73.3+98+192+131.2+1842+37.2+0.2+0.1+1.5+37.1+157.3+17.7+6.8+2135.6+67.4+59.6+135+57.6+27.2+2317.7+25.5+184.8+1845.3+418+103+36.7+77.4+15+35.6+37-18.9+2371.9+58.8+232.7+321.1+2.4+12+6337.9+109.8+15.3+36.6+1.7+83.7+2979.8+0.2+10.7+53.7+252.7+15.7+4.7+27.4+741.9+54.9+4.8+161.7+55.2+44.3+16+761.6-0.1+8.8+6.3+87.6+31.5+495.7+109.8+97.7+77.7+1690.8+154.2+18+16.1+9.2+4.2+70.1+0.2+270.2+2075.5+343+134.2+3+2337.9+138.7+43.6+142.2+95.1-9.1+2198.1</f>
        <v>46911.399999999965</v>
      </c>
      <c r="E33" s="3">
        <f>D33/D151*100</f>
        <v>3.4828568522476755</v>
      </c>
      <c r="F33" s="3">
        <f>D33/B33*100</f>
        <v>88.08726218463404</v>
      </c>
      <c r="G33" s="3">
        <f t="shared" si="0"/>
        <v>72.3678912739978</v>
      </c>
      <c r="H33" s="47">
        <f t="shared" si="2"/>
        <v>6344.2000000000335</v>
      </c>
      <c r="I33" s="47">
        <f t="shared" si="1"/>
        <v>17912.100000000035</v>
      </c>
      <c r="K33" s="132"/>
    </row>
    <row r="34" spans="1:11" ht="18">
      <c r="A34" s="23" t="s">
        <v>3</v>
      </c>
      <c r="B34" s="42">
        <v>43957.1</v>
      </c>
      <c r="C34" s="43">
        <f>55535.9-3105.8+301.7+122.1</f>
        <v>52853.899999999994</v>
      </c>
      <c r="D34" s="44">
        <f>1743.2+1833.7+1830.2+1935.3+81+1854.2+129.9+1804.7+34.4+1.5+1881.6+1967.7+0.1+1784.4+235.6+2357.6-0.1+6335.8+2919.9+53.7+142.8+686.6+728.3+0.1+8.8+87.6+495.7+1689.4+9.2+4.2+70.1+2075.5+2129.1+113+4.5-9.1+2132.8</f>
        <v>39153</v>
      </c>
      <c r="E34" s="1">
        <f>D34/D33*100</f>
        <v>83.4615892938604</v>
      </c>
      <c r="F34" s="1">
        <f t="shared" si="3"/>
        <v>89.07093507078493</v>
      </c>
      <c r="G34" s="1">
        <f t="shared" si="0"/>
        <v>74.07778801564314</v>
      </c>
      <c r="H34" s="44">
        <f t="shared" si="2"/>
        <v>4804.0999999999985</v>
      </c>
      <c r="I34" s="44">
        <f t="shared" si="1"/>
        <v>13700.899999999994</v>
      </c>
      <c r="K34" s="132"/>
    </row>
    <row r="35" spans="1:11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  <c r="K35" s="132"/>
    </row>
    <row r="36" spans="1:11" ht="18">
      <c r="A36" s="23" t="s">
        <v>0</v>
      </c>
      <c r="B36" s="42">
        <v>2131.6</v>
      </c>
      <c r="C36" s="43">
        <f>2945.3+133.6</f>
        <v>3078.9</v>
      </c>
      <c r="D36" s="44">
        <f>5.4+1.2+41.8+16.1+2.9+29.7+160.9+0.8+93.4+46.9+11.2+0.1+15.2+184.7+9.2+183.2+0.9+11.9+0.1+174+0.1+59.2+12.8+2+8.2+325.6+7.6-0.1+53.7+13.4+10.7+7.4+0.6+1.6+1.5+8.1+1.8+9.7+0.1+1+17.2-0.3+3.2+3.8+10.2+6.6+6.3+7.9+2</f>
        <v>1571.5</v>
      </c>
      <c r="E36" s="1">
        <f>D36/D33*100</f>
        <v>3.3499319994713463</v>
      </c>
      <c r="F36" s="1">
        <f t="shared" si="3"/>
        <v>73.72396322011635</v>
      </c>
      <c r="G36" s="1">
        <f t="shared" si="0"/>
        <v>51.04095618565072</v>
      </c>
      <c r="H36" s="44">
        <f t="shared" si="2"/>
        <v>560.0999999999999</v>
      </c>
      <c r="I36" s="44">
        <f t="shared" si="1"/>
        <v>1507.4</v>
      </c>
      <c r="K36" s="132"/>
    </row>
    <row r="37" spans="1:11" s="37" customFormat="1" ht="18">
      <c r="A37" s="18" t="s">
        <v>7</v>
      </c>
      <c r="B37" s="51">
        <v>683.7</v>
      </c>
      <c r="C37" s="52">
        <f>856.1-104+122</f>
        <v>874.1</v>
      </c>
      <c r="D37" s="53">
        <f>7.4+12.3+6.1+3.3+9.3+3.2+58.1+36.7+24.4+18.9-18.9+0.1+12+83.3+21.3+10.7+4.7+55.2+2.2+22.4+77.9+16.1+3.3+3+43.6+88</f>
        <v>604.6</v>
      </c>
      <c r="E37" s="17">
        <f>D37/D33*100</f>
        <v>1.2888125274453555</v>
      </c>
      <c r="F37" s="17">
        <f t="shared" si="3"/>
        <v>88.43059821559163</v>
      </c>
      <c r="G37" s="17">
        <f t="shared" si="0"/>
        <v>69.1682873813065</v>
      </c>
      <c r="H37" s="53">
        <f t="shared" si="2"/>
        <v>79.10000000000002</v>
      </c>
      <c r="I37" s="53">
        <f t="shared" si="1"/>
        <v>269.5</v>
      </c>
      <c r="K37" s="133"/>
    </row>
    <row r="38" spans="1:11" ht="18">
      <c r="A38" s="23" t="s">
        <v>14</v>
      </c>
      <c r="B38" s="42">
        <v>30.6</v>
      </c>
      <c r="C38" s="43">
        <v>80.8</v>
      </c>
      <c r="D38" s="43">
        <f>5.1+5.1+5.1+5.1+5.1</f>
        <v>25.5</v>
      </c>
      <c r="E38" s="1">
        <f>D38/D33*100</f>
        <v>0.05435778936463209</v>
      </c>
      <c r="F38" s="1">
        <f t="shared" si="3"/>
        <v>83.33333333333333</v>
      </c>
      <c r="G38" s="1">
        <f t="shared" si="0"/>
        <v>31.55940594059406</v>
      </c>
      <c r="H38" s="44">
        <f t="shared" si="2"/>
        <v>5.100000000000001</v>
      </c>
      <c r="I38" s="44">
        <f t="shared" si="1"/>
        <v>55.3</v>
      </c>
      <c r="K38" s="132"/>
    </row>
    <row r="39" spans="1:11" ht="18.75" thickBot="1">
      <c r="A39" s="23" t="s">
        <v>28</v>
      </c>
      <c r="B39" s="42">
        <f>B33-B34-B36-B37-B35-B38</f>
        <v>6452.599999999999</v>
      </c>
      <c r="C39" s="42">
        <f>C33-C34-C36-C37-C35-C38</f>
        <v>7935.800000000006</v>
      </c>
      <c r="D39" s="42">
        <f>D33-D34-D36-D37-D35-D38</f>
        <v>5556.799999999965</v>
      </c>
      <c r="E39" s="1">
        <f>D39/D33*100</f>
        <v>11.845308389858262</v>
      </c>
      <c r="F39" s="1">
        <f t="shared" si="3"/>
        <v>86.11722406471756</v>
      </c>
      <c r="G39" s="1">
        <f t="shared" si="0"/>
        <v>70.02192595579476</v>
      </c>
      <c r="H39" s="44">
        <f>B39-D39</f>
        <v>895.8000000000347</v>
      </c>
      <c r="I39" s="44">
        <f t="shared" si="1"/>
        <v>2379.000000000041</v>
      </c>
      <c r="K39" s="132"/>
    </row>
    <row r="40" spans="1:11" ht="18.75" hidden="1" thickBot="1">
      <c r="A40" s="96" t="s">
        <v>67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  <c r="K40" s="132"/>
    </row>
    <row r="41" spans="1:11" ht="18.75" hidden="1" thickBot="1">
      <c r="A41" s="96" t="s">
        <v>68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  <c r="K41" s="132"/>
    </row>
    <row r="42" spans="1:11" ht="18.75" hidden="1" thickBot="1">
      <c r="A42" s="96" t="s">
        <v>69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  <c r="K42" s="132"/>
    </row>
    <row r="43" spans="1:11" ht="18.75" thickBot="1">
      <c r="A43" s="13" t="s">
        <v>16</v>
      </c>
      <c r="B43" s="98">
        <v>2107.4</v>
      </c>
      <c r="C43" s="46">
        <f>1548.6+6.6+21.9+503.3+153.3+3.3</f>
        <v>2237.0000000000005</v>
      </c>
      <c r="D43" s="47">
        <f>29.1+22+50.2+8.1+0.6+111.5+89.2+3+14.7+7.1+8.4+11.5+17.6+100.3+27.2+6.2-0.1+30.1+12.7+5+6.1+5+7.2+55.8+7.4+109.8-0.1+35+11.8+22.6+27.4+6.5+3.2+63.8+35.8+6.6+2.7+4+0.2+6.5+6.9+61+27.1-0.1+3.2+4.7+2.4+51.9+11+53.3-0.1+65.1+0.4+11+9.8+53+2.5+1.3+0.2</f>
        <v>1336.3000000000002</v>
      </c>
      <c r="E43" s="3">
        <f>D43/D151*100</f>
        <v>0.09921131349008074</v>
      </c>
      <c r="F43" s="3">
        <f>D43/B43*100</f>
        <v>63.409888962702865</v>
      </c>
      <c r="G43" s="3">
        <f t="shared" si="0"/>
        <v>59.7362539114886</v>
      </c>
      <c r="H43" s="47">
        <f t="shared" si="2"/>
        <v>771.0999999999999</v>
      </c>
      <c r="I43" s="47">
        <f t="shared" si="1"/>
        <v>900.7000000000003</v>
      </c>
      <c r="K43" s="132"/>
    </row>
    <row r="44" spans="1:11" ht="12" customHeight="1" thickBot="1">
      <c r="A44" s="25"/>
      <c r="B44" s="55"/>
      <c r="C44" s="56"/>
      <c r="D44" s="57"/>
      <c r="E44" s="7"/>
      <c r="F44" s="7"/>
      <c r="G44" s="7"/>
      <c r="H44" s="57"/>
      <c r="I44" s="57"/>
      <c r="K44" s="132"/>
    </row>
    <row r="45" spans="1:11" ht="18.75" thickBot="1">
      <c r="A45" s="22" t="s">
        <v>45</v>
      </c>
      <c r="B45" s="45">
        <v>9741.2</v>
      </c>
      <c r="C45" s="46">
        <v>11788</v>
      </c>
      <c r="D45" s="47">
        <f>102.9+155.5+3.1+3.7+452.3+6+17.2+314.1+59.3+95.2+2.2+579+1.9+71.6+375.2+7+7.3+568.3+0.1+96.1+326.4+4.1+518.1-0.1+350+35.2+5.1+556.7+19.5+326.2+24.6+1+691.6+365.3+4.1+585.4+328.4+3.5+1.9+509.6-0.1+18.5+0.1+311.5+518.9+25.3+320.2+4.8</f>
        <v>8773.8</v>
      </c>
      <c r="E45" s="3">
        <f>D45/D151*100</f>
        <v>0.6513958110448778</v>
      </c>
      <c r="F45" s="3">
        <f>D45/B45*100</f>
        <v>90.0689853406151</v>
      </c>
      <c r="G45" s="3">
        <f aca="true" t="shared" si="4" ref="G45:G76">D45/C45*100</f>
        <v>74.42992874109264</v>
      </c>
      <c r="H45" s="47">
        <f>B45-D45</f>
        <v>967.4000000000015</v>
      </c>
      <c r="I45" s="47">
        <f aca="true" t="shared" si="5" ref="I45:I77">C45-D45</f>
        <v>3014.2000000000007</v>
      </c>
      <c r="K45" s="132"/>
    </row>
    <row r="46" spans="1:11" ht="18">
      <c r="A46" s="23" t="s">
        <v>3</v>
      </c>
      <c r="B46" s="42">
        <v>8838.7</v>
      </c>
      <c r="C46" s="43">
        <v>10529.7</v>
      </c>
      <c r="D46" s="44">
        <f>102.7+154.9+447.3+314.1+572.1+284.8+559+325.4+510.8+301.6+29.6+556.7+0.1+311.9+684.4+334.8+585.4+305.3+503.4-0.1+18+293.3+510.8+310.5</f>
        <v>8016.799999999999</v>
      </c>
      <c r="E46" s="1">
        <f>D46/D45*100</f>
        <v>91.37203948118261</v>
      </c>
      <c r="F46" s="1">
        <f aca="true" t="shared" si="6" ref="F46:F74">D46/B46*100</f>
        <v>90.70112120560715</v>
      </c>
      <c r="G46" s="1">
        <f t="shared" si="4"/>
        <v>76.13512255809755</v>
      </c>
      <c r="H46" s="44">
        <f aca="true" t="shared" si="7" ref="H46:H74">B46-D46</f>
        <v>821.9000000000015</v>
      </c>
      <c r="I46" s="44">
        <f t="shared" si="5"/>
        <v>2512.9000000000015</v>
      </c>
      <c r="K46" s="132"/>
    </row>
    <row r="47" spans="1:11" ht="18">
      <c r="A47" s="23" t="s">
        <v>2</v>
      </c>
      <c r="B47" s="42">
        <v>1.1</v>
      </c>
      <c r="C47" s="43">
        <v>1.4</v>
      </c>
      <c r="D47" s="44">
        <f>0.4+0.4</f>
        <v>0.8</v>
      </c>
      <c r="E47" s="1">
        <f>D47/D45*100</f>
        <v>0.009118056030454309</v>
      </c>
      <c r="F47" s="1">
        <f t="shared" si="6"/>
        <v>72.72727272727273</v>
      </c>
      <c r="G47" s="1">
        <f t="shared" si="4"/>
        <v>57.14285714285715</v>
      </c>
      <c r="H47" s="44">
        <f t="shared" si="7"/>
        <v>0.30000000000000004</v>
      </c>
      <c r="I47" s="44">
        <f t="shared" si="5"/>
        <v>0.5999999999999999</v>
      </c>
      <c r="K47" s="132"/>
    </row>
    <row r="48" spans="1:11" ht="18">
      <c r="A48" s="23" t="s">
        <v>1</v>
      </c>
      <c r="B48" s="42">
        <v>56.4</v>
      </c>
      <c r="C48" s="43">
        <f>73.4+0.9</f>
        <v>74.30000000000001</v>
      </c>
      <c r="D48" s="44">
        <f>5.4+5.6+7.3+6+2.1+4.3+6.6+2.2+4.2</f>
        <v>43.70000000000001</v>
      </c>
      <c r="E48" s="1">
        <f>D48/D45*100</f>
        <v>0.49807381066356665</v>
      </c>
      <c r="F48" s="1">
        <f t="shared" si="6"/>
        <v>77.48226950354612</v>
      </c>
      <c r="G48" s="1">
        <f t="shared" si="4"/>
        <v>58.81561238223419</v>
      </c>
      <c r="H48" s="44">
        <f t="shared" si="7"/>
        <v>12.699999999999989</v>
      </c>
      <c r="I48" s="44">
        <f t="shared" si="5"/>
        <v>30.6</v>
      </c>
      <c r="K48" s="132"/>
    </row>
    <row r="49" spans="1:11" ht="18">
      <c r="A49" s="23" t="s">
        <v>0</v>
      </c>
      <c r="B49" s="42">
        <v>579.4</v>
      </c>
      <c r="C49" s="43">
        <v>865.1</v>
      </c>
      <c r="D49" s="44">
        <f>3.1+3.5+1+0.7+59.3+95.2+2.2+6-0.1+53.5+89.7+6.2+7.2+73.9+0.4+4+3.2+30.6+0.2+2.7+3.1+5.4+3.6+1.3+5+0.5+0.4+4.8+0.7+0.5</f>
        <v>467.79999999999995</v>
      </c>
      <c r="E49" s="1">
        <f>D49/D45*100</f>
        <v>5.331783263808156</v>
      </c>
      <c r="F49" s="1">
        <f t="shared" si="6"/>
        <v>80.73869520193303</v>
      </c>
      <c r="G49" s="1">
        <f t="shared" si="4"/>
        <v>54.074673448156275</v>
      </c>
      <c r="H49" s="44">
        <f t="shared" si="7"/>
        <v>111.60000000000002</v>
      </c>
      <c r="I49" s="44">
        <f t="shared" si="5"/>
        <v>397.30000000000007</v>
      </c>
      <c r="K49" s="132"/>
    </row>
    <row r="50" spans="1:11" ht="18.75" thickBot="1">
      <c r="A50" s="23" t="s">
        <v>28</v>
      </c>
      <c r="B50" s="43">
        <f>B45-B46-B49-B48-B47</f>
        <v>265.6</v>
      </c>
      <c r="C50" s="43">
        <f>C45-C46-C49-C48-C47</f>
        <v>317.49999999999926</v>
      </c>
      <c r="D50" s="43">
        <f>D45-D46-D49-D48-D47</f>
        <v>244.70000000000002</v>
      </c>
      <c r="E50" s="1">
        <f>D50/D45*100</f>
        <v>2.788985388315212</v>
      </c>
      <c r="F50" s="1">
        <f t="shared" si="6"/>
        <v>92.13102409638554</v>
      </c>
      <c r="G50" s="1">
        <f t="shared" si="4"/>
        <v>77.07086614173247</v>
      </c>
      <c r="H50" s="44">
        <f t="shared" si="7"/>
        <v>20.900000000000006</v>
      </c>
      <c r="I50" s="44">
        <f t="shared" si="5"/>
        <v>72.79999999999924</v>
      </c>
      <c r="K50" s="132"/>
    </row>
    <row r="51" spans="1:11" ht="18.75" thickBot="1">
      <c r="A51" s="22" t="s">
        <v>4</v>
      </c>
      <c r="B51" s="45">
        <v>19553.6</v>
      </c>
      <c r="C51" s="46">
        <f>23558.7+50+2250-940.4-1250+76.8+148+18.8</f>
        <v>23911.899999999998</v>
      </c>
      <c r="D51" s="47">
        <f>475.9+7.8+935.8+30.7-0.1+8+35.8+34+6+454.4+67.8+74.7+41.8+81.6+68+973+34+4.9+131.2+59.3+568.8+113.2+131.2+51.5+32.5+2.5+9+29.3+48.7+24.6+895.5+47.8+195.2+85.2+498.7+48.5+15.2+20.1+884.8+122.4+110.8+0.3+163.9+403+106.7+40.2+97.2+39.2+1124+104.3+23.6+2.9+21.3+690.8+52.8+1394.2+84.1+0.1+145.8+533.5+26.7+0.4+158.2+763.9-0.1+5.8+4.2+48.4+226.6+201.1+19.7+19.1+545.9+134.5+23.1+14.2+56.1+41.6+479+67.6+82.8+324.3+769.9+9+126.6+499.4</f>
        <v>17136</v>
      </c>
      <c r="E51" s="3">
        <f>D51/D151*100</f>
        <v>1.2722330823662524</v>
      </c>
      <c r="F51" s="3">
        <f>D51/B51*100</f>
        <v>87.63603633090582</v>
      </c>
      <c r="G51" s="3">
        <f t="shared" si="4"/>
        <v>71.66306316102025</v>
      </c>
      <c r="H51" s="47">
        <f>B51-D51</f>
        <v>2417.5999999999985</v>
      </c>
      <c r="I51" s="47">
        <f t="shared" si="5"/>
        <v>6775.899999999998</v>
      </c>
      <c r="K51" s="132"/>
    </row>
    <row r="52" spans="1:11" ht="18">
      <c r="A52" s="23" t="s">
        <v>3</v>
      </c>
      <c r="B52" s="42">
        <v>12279.5</v>
      </c>
      <c r="C52" s="43">
        <f>16189.8-940.4</f>
        <v>15249.4</v>
      </c>
      <c r="D52" s="44">
        <f>392.4+738.8+389.6+752.9+403.1+730.4+397.8+724.9+1.1+0.1+403+795.7+527.1+1240.6+386.5+33.7+705.7+0.1+5.8+226.6+536.1+14.2+2.1+376.1+1.7+154.2+769.9+9+398.1</f>
        <v>11117.300000000003</v>
      </c>
      <c r="E52" s="1">
        <f>D52/D51*100</f>
        <v>64.87686741363213</v>
      </c>
      <c r="F52" s="1">
        <f t="shared" si="6"/>
        <v>90.53544525428562</v>
      </c>
      <c r="G52" s="1">
        <f t="shared" si="4"/>
        <v>72.90319619132558</v>
      </c>
      <c r="H52" s="44">
        <f t="shared" si="7"/>
        <v>1162.199999999997</v>
      </c>
      <c r="I52" s="44">
        <f t="shared" si="5"/>
        <v>4132.099999999997</v>
      </c>
      <c r="K52" s="132"/>
    </row>
    <row r="53" spans="1:11" ht="18">
      <c r="A53" s="23" t="s">
        <v>2</v>
      </c>
      <c r="B53" s="42">
        <v>6.5</v>
      </c>
      <c r="C53" s="43">
        <v>13</v>
      </c>
      <c r="D53" s="44"/>
      <c r="E53" s="1">
        <f>D53/D51*100</f>
        <v>0</v>
      </c>
      <c r="F53" s="1">
        <f>D53/B53*100</f>
        <v>0</v>
      </c>
      <c r="G53" s="1">
        <f t="shared" si="4"/>
        <v>0</v>
      </c>
      <c r="H53" s="44">
        <f t="shared" si="7"/>
        <v>6.5</v>
      </c>
      <c r="I53" s="44">
        <f t="shared" si="5"/>
        <v>13</v>
      </c>
      <c r="K53" s="132"/>
    </row>
    <row r="54" spans="1:11" ht="18">
      <c r="A54" s="23" t="s">
        <v>1</v>
      </c>
      <c r="B54" s="42">
        <v>676.1</v>
      </c>
      <c r="C54" s="43">
        <v>810.2</v>
      </c>
      <c r="D54" s="44">
        <f>1.9+1.9+0.5+7.4+2.1+1.2+12.9+5.1+0.1+4.5+16.8+19.2+9.7+3.1+1.1+1.4+2.5+5.7+19.9+0.8+28.2+4+19.8+8.2+38.7+4.3+0.2+18.2+4.3+27.9+3.9+3+21+4+9.4+2.4+4.7+1.2+8.1+6.9+10.9+0.1+38.9+5.3+2.8+0.1+3+2.2+20.1+27.7+3.6+38.3</f>
        <v>489.19999999999993</v>
      </c>
      <c r="E54" s="1">
        <f>D54/D51*100</f>
        <v>2.8548085901027074</v>
      </c>
      <c r="F54" s="1">
        <f t="shared" si="6"/>
        <v>72.35616033131193</v>
      </c>
      <c r="G54" s="1">
        <f t="shared" si="4"/>
        <v>60.38015304862996</v>
      </c>
      <c r="H54" s="44">
        <f t="shared" si="7"/>
        <v>186.9000000000001</v>
      </c>
      <c r="I54" s="44">
        <f t="shared" si="5"/>
        <v>321.0000000000001</v>
      </c>
      <c r="K54" s="132"/>
    </row>
    <row r="55" spans="1:11" ht="18">
      <c r="A55" s="23" t="s">
        <v>0</v>
      </c>
      <c r="B55" s="42">
        <v>679.3</v>
      </c>
      <c r="C55" s="43">
        <f>1048.5+14.2</f>
        <v>1062.7</v>
      </c>
      <c r="D55" s="44">
        <f>0.5+0.6+7.5+73.9+2.1+51.2+20.8+16.3+5.9+0.4+16.8+14.9+10.4+71.4+0.3+1.2+1.4+16+1.2+0.1+25+43+3.8+1.3+4.1+73.9-0.2+14.3+2.8+3+2.4+0.3+0.4+1.3+1.5+2+0.6+0.5+3+1.3+1.4+2+1.4+0.2+0.3+0.2+0.6+0.1-0.1+0.5+38.9+0.3+0.6+11.4+1.9</f>
        <v>556.9000000000001</v>
      </c>
      <c r="E55" s="1">
        <f>D55/D51*100</f>
        <v>3.249883286647993</v>
      </c>
      <c r="F55" s="1">
        <f t="shared" si="6"/>
        <v>81.98145149418521</v>
      </c>
      <c r="G55" s="1">
        <f t="shared" si="4"/>
        <v>52.404253317022686</v>
      </c>
      <c r="H55" s="44">
        <f t="shared" si="7"/>
        <v>122.39999999999986</v>
      </c>
      <c r="I55" s="44">
        <f t="shared" si="5"/>
        <v>505.79999999999995</v>
      </c>
      <c r="K55" s="132"/>
    </row>
    <row r="56" spans="1:11" ht="18">
      <c r="A56" s="23" t="s">
        <v>14</v>
      </c>
      <c r="B56" s="42">
        <v>420.1</v>
      </c>
      <c r="C56" s="43">
        <v>518.9</v>
      </c>
      <c r="D56" s="43">
        <f>34+46+40+40+40+40+40+40+38+2</f>
        <v>360</v>
      </c>
      <c r="E56" s="1">
        <f>D56/D51*100</f>
        <v>2.100840336134454</v>
      </c>
      <c r="F56" s="1">
        <f>D56/B56*100</f>
        <v>85.69388240895024</v>
      </c>
      <c r="G56" s="1">
        <f>D56/C56*100</f>
        <v>69.37752938909232</v>
      </c>
      <c r="H56" s="44">
        <f t="shared" si="7"/>
        <v>60.10000000000002</v>
      </c>
      <c r="I56" s="44">
        <f t="shared" si="5"/>
        <v>158.89999999999998</v>
      </c>
      <c r="K56" s="132"/>
    </row>
    <row r="57" spans="1:11" ht="18.75" thickBot="1">
      <c r="A57" s="23" t="s">
        <v>28</v>
      </c>
      <c r="B57" s="43">
        <f>B51-B52-B55-B54-B53-B56</f>
        <v>5492.099999999998</v>
      </c>
      <c r="C57" s="43">
        <f>C51-C52-C55-C54-C53-C56</f>
        <v>6257.699999999999</v>
      </c>
      <c r="D57" s="43">
        <f>D51-D52-D55-D54-D53-D56</f>
        <v>4612.599999999998</v>
      </c>
      <c r="E57" s="1">
        <f>D57/D51*100</f>
        <v>26.917600373482713</v>
      </c>
      <c r="F57" s="1">
        <f t="shared" si="6"/>
        <v>83.98608910981227</v>
      </c>
      <c r="G57" s="1">
        <f t="shared" si="4"/>
        <v>73.71078830880353</v>
      </c>
      <c r="H57" s="44">
        <f>B57-D57</f>
        <v>879.5</v>
      </c>
      <c r="I57" s="44">
        <f>C57-D57</f>
        <v>1645.1000000000013</v>
      </c>
      <c r="K57" s="132"/>
    </row>
    <row r="58" spans="1:11" s="37" customFormat="1" ht="18.75" hidden="1" thickBot="1">
      <c r="A58" s="96" t="s">
        <v>66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  <c r="K58" s="133"/>
    </row>
    <row r="59" spans="1:11" ht="18.75" thickBot="1">
      <c r="A59" s="22" t="s">
        <v>6</v>
      </c>
      <c r="B59" s="45">
        <v>3513.3</v>
      </c>
      <c r="C59" s="46">
        <f>7844.6+200-378.5+50-3400</f>
        <v>4316.1</v>
      </c>
      <c r="D59" s="47">
        <f>55.6+0.2+146.1+0.4+60.8+0.4+59.3+73.6+0.1+18.6+1.9+67.3+0.4+57.5+0.6+144.6-4.5+32.9+1.2+79.7+73.5+4+0.1+78.7+72.2+0.1+9.9+53+0.1+12.7+6.3+29.9+85.7+69.4+15.3+39.7+11.2+39.1+0.1+101.9+64.5+93.3+45.9+65.6+272.8+119.4-0.1+76.5+37.7+49.7+0.9+102.7+8.7+65.9+60.6+0.6+30.4+31.3+137.8+5+19.5+67.5+70.7+3+75.8</f>
        <v>3005.3</v>
      </c>
      <c r="E59" s="3">
        <f>D59/D151*100</f>
        <v>0.22312337082372188</v>
      </c>
      <c r="F59" s="3">
        <f>D59/B59*100</f>
        <v>85.54065977855578</v>
      </c>
      <c r="G59" s="3">
        <f t="shared" si="4"/>
        <v>69.62999003730219</v>
      </c>
      <c r="H59" s="47">
        <f>B59-D59</f>
        <v>508</v>
      </c>
      <c r="I59" s="47">
        <f t="shared" si="5"/>
        <v>1310.8000000000002</v>
      </c>
      <c r="K59" s="132"/>
    </row>
    <row r="60" spans="1:11" ht="18">
      <c r="A60" s="23" t="s">
        <v>3</v>
      </c>
      <c r="B60" s="42">
        <v>2140.1</v>
      </c>
      <c r="C60" s="43">
        <f>2900.3-339.6</f>
        <v>2560.7000000000003</v>
      </c>
      <c r="D60" s="44">
        <f>55.6+146.1+60.8+59.3+73.6+0.1+67.3+144.6-4.5+79.7+66.8+72.2-0.1+53+75.7+69.4+0.1+39.1+101.5+64.4+45.9+60.8+119.4+37.7+47.7+65.9+60.6-0.1+31.3+40.6+67.5+63.7+74.8</f>
        <v>1940.5000000000002</v>
      </c>
      <c r="E60" s="1">
        <f>D60/D59*100</f>
        <v>64.56926097228231</v>
      </c>
      <c r="F60" s="1">
        <f t="shared" si="6"/>
        <v>90.67333302182142</v>
      </c>
      <c r="G60" s="1">
        <f t="shared" si="4"/>
        <v>75.78006013980553</v>
      </c>
      <c r="H60" s="44">
        <f t="shared" si="7"/>
        <v>199.59999999999968</v>
      </c>
      <c r="I60" s="44">
        <f t="shared" si="5"/>
        <v>620.2</v>
      </c>
      <c r="K60" s="132"/>
    </row>
    <row r="61" spans="1:11" ht="18">
      <c r="A61" s="23" t="s">
        <v>1</v>
      </c>
      <c r="B61" s="42">
        <v>343.7</v>
      </c>
      <c r="C61" s="43">
        <f>337.1+6.6</f>
        <v>343.70000000000005</v>
      </c>
      <c r="D61" s="44">
        <f>3.2+187.7+74.6+71.5</f>
        <v>337</v>
      </c>
      <c r="E61" s="1">
        <f>D61/D59*100</f>
        <v>11.21352277642831</v>
      </c>
      <c r="F61" s="1">
        <f>D61/B61*100</f>
        <v>98.0506255455339</v>
      </c>
      <c r="G61" s="1">
        <f t="shared" si="4"/>
        <v>98.05062554553389</v>
      </c>
      <c r="H61" s="44">
        <f t="shared" si="7"/>
        <v>6.699999999999989</v>
      </c>
      <c r="I61" s="44">
        <f t="shared" si="5"/>
        <v>6.7000000000000455</v>
      </c>
      <c r="K61" s="132"/>
    </row>
    <row r="62" spans="1:11" ht="18">
      <c r="A62" s="23" t="s">
        <v>0</v>
      </c>
      <c r="B62" s="42">
        <v>264.4</v>
      </c>
      <c r="C62" s="43">
        <f>451.8-38.9</f>
        <v>412.90000000000003</v>
      </c>
      <c r="D62" s="44">
        <f>0.4+18.6+55.1+0.5+32.9+0.7+67.5+3.7+0.4+6.3+12.6+0.1+4.2+0.1+1.9+0.5+3.8+1+0.1+0.1+2.5-0.1+0.6+0.1+3.3+0.4</f>
        <v>217.29999999999998</v>
      </c>
      <c r="E62" s="1">
        <f>D62/D59*100</f>
        <v>7.230559345156888</v>
      </c>
      <c r="F62" s="1">
        <f t="shared" si="6"/>
        <v>82.18608169440242</v>
      </c>
      <c r="G62" s="1">
        <f t="shared" si="4"/>
        <v>52.62775490433518</v>
      </c>
      <c r="H62" s="44">
        <f t="shared" si="7"/>
        <v>47.099999999999994</v>
      </c>
      <c r="I62" s="44">
        <f t="shared" si="5"/>
        <v>195.60000000000005</v>
      </c>
      <c r="K62" s="132"/>
    </row>
    <row r="63" spans="1:11" ht="18">
      <c r="A63" s="23" t="s">
        <v>14</v>
      </c>
      <c r="B63" s="42">
        <v>307.1</v>
      </c>
      <c r="C63" s="43">
        <f>3707.1-3400</f>
        <v>307.0999999999999</v>
      </c>
      <c r="D63" s="44">
        <v>89.8</v>
      </c>
      <c r="E63" s="1">
        <f>D63/D59*100</f>
        <v>2.9880544371610154</v>
      </c>
      <c r="F63" s="1">
        <f t="shared" si="6"/>
        <v>29.241289482253336</v>
      </c>
      <c r="G63" s="1">
        <f t="shared" si="4"/>
        <v>29.241289482253347</v>
      </c>
      <c r="H63" s="44">
        <f t="shared" si="7"/>
        <v>217.3</v>
      </c>
      <c r="I63" s="44">
        <f t="shared" si="5"/>
        <v>217.2999999999999</v>
      </c>
      <c r="K63" s="132"/>
    </row>
    <row r="64" spans="1:11" ht="18.75" thickBot="1">
      <c r="A64" s="23" t="s">
        <v>28</v>
      </c>
      <c r="B64" s="43">
        <f>B59-B60-B62-B63-B61</f>
        <v>458.00000000000017</v>
      </c>
      <c r="C64" s="43">
        <f>C59-C60-C62-C63-C61</f>
        <v>691.7</v>
      </c>
      <c r="D64" s="43">
        <f>D59-D60-D62-D63-D61</f>
        <v>420.70000000000005</v>
      </c>
      <c r="E64" s="1">
        <f>D64/D59*100</f>
        <v>13.998602468971486</v>
      </c>
      <c r="F64" s="1">
        <f t="shared" si="6"/>
        <v>91.85589519650652</v>
      </c>
      <c r="G64" s="1">
        <f t="shared" si="4"/>
        <v>60.821165245048434</v>
      </c>
      <c r="H64" s="44">
        <f t="shared" si="7"/>
        <v>37.300000000000125</v>
      </c>
      <c r="I64" s="44">
        <f t="shared" si="5"/>
        <v>271</v>
      </c>
      <c r="K64" s="132"/>
    </row>
    <row r="65" spans="1:11" s="37" customFormat="1" ht="18.75" hidden="1" thickBot="1">
      <c r="A65" s="96" t="s">
        <v>77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  <c r="K65" s="133"/>
    </row>
    <row r="66" spans="1:11" s="37" customFormat="1" ht="18.75" hidden="1" thickBot="1">
      <c r="A66" s="96" t="s">
        <v>63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  <c r="K66" s="133"/>
    </row>
    <row r="67" spans="1:11" s="37" customFormat="1" ht="18.75" hidden="1" thickBot="1">
      <c r="A67" s="96" t="s">
        <v>64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  <c r="K67" s="133"/>
    </row>
    <row r="68" spans="1:11" s="37" customFormat="1" ht="18.75" hidden="1" thickBot="1">
      <c r="A68" s="96" t="s">
        <v>65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  <c r="K68" s="133"/>
    </row>
    <row r="69" spans="1:11" ht="18.75" thickBot="1">
      <c r="A69" s="22" t="s">
        <v>20</v>
      </c>
      <c r="B69" s="46">
        <f>B70+B71</f>
        <v>384.2</v>
      </c>
      <c r="C69" s="46">
        <f>C70+C71</f>
        <v>397.5</v>
      </c>
      <c r="D69" s="47">
        <f>SUM(D70:D71)</f>
        <v>242.39999999999998</v>
      </c>
      <c r="E69" s="35">
        <f>D69/D151*100</f>
        <v>0.017996574414424576</v>
      </c>
      <c r="F69" s="3">
        <f>D69/B69*100</f>
        <v>63.092139510671515</v>
      </c>
      <c r="G69" s="3">
        <f t="shared" si="4"/>
        <v>60.98113207547169</v>
      </c>
      <c r="H69" s="47">
        <f>B69-D69</f>
        <v>141.8</v>
      </c>
      <c r="I69" s="47">
        <f t="shared" si="5"/>
        <v>155.10000000000002</v>
      </c>
      <c r="K69" s="132"/>
    </row>
    <row r="70" spans="1:11" ht="18">
      <c r="A70" s="23" t="s">
        <v>8</v>
      </c>
      <c r="B70" s="42">
        <v>287</v>
      </c>
      <c r="C70" s="43">
        <f>289-2</f>
        <v>287</v>
      </c>
      <c r="D70" s="44">
        <f>19.2+1.5+170.6+1.2+17.7+0.1+11+3+9.5-0.1+2.3-0.1</f>
        <v>235.89999999999998</v>
      </c>
      <c r="E70" s="1">
        <f>D70/D69*100</f>
        <v>97.31848184818482</v>
      </c>
      <c r="F70" s="1">
        <f t="shared" si="6"/>
        <v>82.1951219512195</v>
      </c>
      <c r="G70" s="1">
        <f t="shared" si="4"/>
        <v>82.1951219512195</v>
      </c>
      <c r="H70" s="44">
        <f t="shared" si="7"/>
        <v>51.10000000000002</v>
      </c>
      <c r="I70" s="44">
        <f t="shared" si="5"/>
        <v>51.10000000000002</v>
      </c>
      <c r="K70" s="132"/>
    </row>
    <row r="71" spans="1:11" ht="18.75" thickBot="1">
      <c r="A71" s="23" t="s">
        <v>9</v>
      </c>
      <c r="B71" s="42">
        <v>97.2</v>
      </c>
      <c r="C71" s="43">
        <f>267.3-68.6-27.9+0.7-15-6.9-19.6-19.5</f>
        <v>110.5</v>
      </c>
      <c r="D71" s="44">
        <f>6.5</f>
        <v>6.5</v>
      </c>
      <c r="E71" s="1">
        <f>D71/D70*100</f>
        <v>2.7554048325561684</v>
      </c>
      <c r="F71" s="1">
        <f t="shared" si="6"/>
        <v>6.68724279835391</v>
      </c>
      <c r="G71" s="1">
        <f t="shared" si="4"/>
        <v>5.88235294117647</v>
      </c>
      <c r="H71" s="44">
        <f t="shared" si="7"/>
        <v>90.7</v>
      </c>
      <c r="I71" s="44">
        <f t="shared" si="5"/>
        <v>104</v>
      </c>
      <c r="K71" s="132"/>
    </row>
    <row r="72" spans="1:11" ht="36.7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D72/D151*100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  <c r="K72" s="132"/>
    </row>
    <row r="73" spans="1:11" ht="18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  <c r="K73" s="132"/>
    </row>
    <row r="74" spans="1:11" ht="18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  <c r="K74" s="132"/>
    </row>
    <row r="75" spans="1:11" ht="18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  <c r="K75" s="132"/>
    </row>
    <row r="76" spans="1:11" ht="18.7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  <c r="K76" s="132"/>
    </row>
    <row r="77" spans="1:11" s="37" customFormat="1" ht="18.75" thickBot="1">
      <c r="A77" s="25" t="s">
        <v>13</v>
      </c>
      <c r="B77" s="55">
        <v>912.9</v>
      </c>
      <c r="C77" s="62">
        <f>10000-100-5823.7-1513.4-150-1500</f>
        <v>912.9000000000001</v>
      </c>
      <c r="D77" s="63"/>
      <c r="E77" s="41"/>
      <c r="F77" s="41"/>
      <c r="G77" s="41"/>
      <c r="H77" s="63">
        <f>B77-D77</f>
        <v>912.9</v>
      </c>
      <c r="I77" s="63">
        <f t="shared" si="5"/>
        <v>912.9000000000001</v>
      </c>
      <c r="K77" s="133"/>
    </row>
    <row r="78" spans="1:11" ht="8.25" customHeight="1" thickBot="1">
      <c r="A78" s="18"/>
      <c r="B78" s="51"/>
      <c r="C78" s="60"/>
      <c r="D78" s="61"/>
      <c r="E78" s="6"/>
      <c r="F78" s="6"/>
      <c r="G78" s="6"/>
      <c r="H78" s="61"/>
      <c r="I78" s="120"/>
      <c r="K78" s="132"/>
    </row>
    <row r="79" spans="1:11" ht="18.75" customHeight="1" hidden="1" thickBot="1">
      <c r="A79" s="13" t="s">
        <v>57</v>
      </c>
      <c r="B79" s="54"/>
      <c r="C79" s="46"/>
      <c r="D79" s="46"/>
      <c r="E79" s="3">
        <f>D79/D151*100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  <c r="K79" s="132"/>
    </row>
    <row r="80" spans="1:11" s="8" customFormat="1" ht="18.75" hidden="1" thickBot="1">
      <c r="A80" s="9" t="s">
        <v>56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  <c r="K80" s="134"/>
    </row>
    <row r="81" spans="1:11" s="8" customFormat="1" ht="33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  <c r="K81" s="134"/>
    </row>
    <row r="82" spans="1:11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  <c r="K82" s="134"/>
    </row>
    <row r="83" spans="1:11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  <c r="K83" s="134"/>
    </row>
    <row r="84" spans="1:11" ht="35.25" customHeight="1" hidden="1" thickBot="1">
      <c r="A84" s="13" t="s">
        <v>36</v>
      </c>
      <c r="B84" s="54"/>
      <c r="C84" s="46"/>
      <c r="D84" s="46"/>
      <c r="E84" s="3">
        <f>D84/D151*100</f>
        <v>0</v>
      </c>
      <c r="F84" s="3"/>
      <c r="G84" s="3" t="e">
        <f t="shared" si="8"/>
        <v>#DIV/0!</v>
      </c>
      <c r="H84" s="47"/>
      <c r="I84" s="47">
        <f t="shared" si="9"/>
        <v>0</v>
      </c>
      <c r="K84" s="132"/>
    </row>
    <row r="85" spans="1:11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  <c r="K85" s="132"/>
    </row>
    <row r="86" spans="1:11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  <c r="K86" s="132"/>
    </row>
    <row r="87" spans="1:11" ht="34.5" customHeight="1" hidden="1" thickBot="1">
      <c r="A87" s="13" t="s">
        <v>37</v>
      </c>
      <c r="B87" s="54"/>
      <c r="C87" s="46"/>
      <c r="D87" s="46"/>
      <c r="E87" s="3">
        <f>D87/D151*100</f>
        <v>0</v>
      </c>
      <c r="F87" s="3"/>
      <c r="G87" s="3" t="e">
        <f t="shared" si="8"/>
        <v>#DIV/0!</v>
      </c>
      <c r="H87" s="47"/>
      <c r="I87" s="47">
        <f t="shared" si="9"/>
        <v>0</v>
      </c>
      <c r="K87" s="132"/>
    </row>
    <row r="88" spans="1:11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  <c r="K88" s="132"/>
    </row>
    <row r="89" spans="1:11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  <c r="K89" s="132"/>
    </row>
    <row r="90" spans="1:11" ht="18.75" thickBot="1">
      <c r="A90" s="13" t="s">
        <v>10</v>
      </c>
      <c r="B90" s="54">
        <v>132747.6</v>
      </c>
      <c r="C90" s="46">
        <f>157960+265+0.3+29.6-699.4</f>
        <v>157555.5</v>
      </c>
      <c r="D90" s="47">
        <f>4.8+1016.5+864.1+250.6+6.8+2.9+10.6+5.5+0.6+1.5+29.3+1648.7+1618.2+708.6+2+22.6+23.3+36.4+60.9+22+815.8+1474.1+412+20.4+54.9+18.9+21.9+0.1+15.6+311.1+1694.5+1935.1+26.3+25.9+120.2+243.3+17.1+315.3+665.2+1876.2+71.1+29.7+42.5+5.2+78+29.4+120.4+583.5+424.3+1056.1+1600.5+1348.3+1.6+115.2+57.4+81.5+104.1+13.4+469.2+2448.2+10.2+19.3+11.7+43.2+14.5+11.6+13.1+36.9+2714.6+1411+0.2+11.1+73.5+89.9+1+1227.5+1388.6+65.7+32.7+7.5+39.6+25.7+4.6+117.3+8+19.8+253.2+5.1+3240+1249.1+6.5+0.3+69.3+21.8+23.3+4+47.2+982.2+4710.8+65.4+21.4+40.3+43.9+39+207.9+16+10.2+429.1+6414+3323.9+36.7-0.1+8.4+212.3+70.1+36.6+7.2+110.1+1542.8+2778.2+781.7+1+23.8+89.1+38.5+36.8+136.8+51+456.9+2694+5470.1+1854.7+3.9+348+4.4+42+73.8+254.9+57.8+270.2+669.1+287.6+5563.5+160.1+130.8+2.6+114.8+5+9.5+184.3+6.2+2663.5+4422.4+2497.1+0.7+0.1+92+221.4+152.4+25.7+179.6+108.2+35.8+645.8+4976+101.5+18.1+43.6+85.7+49.1+21.6+2.4+34.9+163.3+8158.5+16.7+0.5+21.3+29.4+134+35.1+13.2+25.6+270.8+3864+883.9</f>
        <v>108321.20000000004</v>
      </c>
      <c r="E90" s="3">
        <f>D90/D151*100</f>
        <v>8.04212267516406</v>
      </c>
      <c r="F90" s="3">
        <f aca="true" t="shared" si="10" ref="F90:F96">D90/B90*100</f>
        <v>81.5993660149035</v>
      </c>
      <c r="G90" s="3">
        <f t="shared" si="8"/>
        <v>68.75113848770754</v>
      </c>
      <c r="H90" s="47">
        <f aca="true" t="shared" si="11" ref="H90:H96">B90-D90</f>
        <v>24426.399999999965</v>
      </c>
      <c r="I90" s="47">
        <f t="shared" si="9"/>
        <v>49234.29999999996</v>
      </c>
      <c r="K90" s="132"/>
    </row>
    <row r="91" spans="1:11" ht="18">
      <c r="A91" s="23" t="s">
        <v>3</v>
      </c>
      <c r="B91" s="42">
        <f>123695.3-18.2</f>
        <v>123677.1</v>
      </c>
      <c r="C91" s="43">
        <f>148246.2-137.7-228.3-64.5-80-812.7</f>
        <v>146923</v>
      </c>
      <c r="D91" s="44">
        <f>1016.5+861.2+216.8+0.1+15.6+1633.8+1584.8+610.3+2+34.8+60.4+677.1+1434.4+388.2+14.5+46.2+0.1+225.9+1690.4+1880.4+5.7+23.4+14.2+309.4+627.8+1876.2+1.4+2.8+20.2+321.2+999.1+1596.9+1340.8+29.5+22.6+10.8+458.4+2420.6+2.5+2587.3+1345.3+0.3+41.9+36.8+1215.7+1388.4+14.2+95.4+7.9+252.5+3183.2+1157.6+4.1+23.5+962.9+4695.9+34.7+9.5+23.7+39.5+291+6411.2+3323.9+8.4+81.5+40.9+31.5+108.3+1542+2643.1+767+1+87.4+20.4+42.5+31.7+336.3+2638.2+5444.8+1848.4+336.3+51.1+240.9+202.9+667.3+278.9+5555.6+141.7+90.7+183+2602.2+4307.4+2457.5+10.6+83.4+192.8+95.5+93.2+600.3+4971.7+0.1+4.8+14.4+56+21.6+14.4+8047.8+21.3+17+55.2+259.1+3844.6+856.5</f>
        <v>101672.6</v>
      </c>
      <c r="E91" s="1">
        <f>D91/D90*100</f>
        <v>93.86214332928363</v>
      </c>
      <c r="F91" s="1">
        <f t="shared" si="10"/>
        <v>82.2081048148768</v>
      </c>
      <c r="G91" s="1">
        <f t="shared" si="8"/>
        <v>69.20128230433629</v>
      </c>
      <c r="H91" s="44">
        <f t="shared" si="11"/>
        <v>22004.5</v>
      </c>
      <c r="I91" s="44">
        <f t="shared" si="9"/>
        <v>45250.399999999994</v>
      </c>
      <c r="K91" s="132"/>
    </row>
    <row r="92" spans="1:11" ht="18">
      <c r="A92" s="23" t="s">
        <v>26</v>
      </c>
      <c r="B92" s="42">
        <v>1718.6</v>
      </c>
      <c r="C92" s="43">
        <v>2620.6</v>
      </c>
      <c r="D92" s="44">
        <f>48.5+5.1+5+1.3+22.8+67.3+62.7+3.5+1.4+40.6+112.7+571.4+55.5+1.7+2.4+3.1+83.6+0.9+1.4+3.5+0.9+23.5+44.4+1+13.6+0.7+42.8+22.3+44+0.7+4.6+0.7+0.7+13.7+56.1+1.6+31.5+0.9+63.8+4.3+0.9+0.3+18</f>
        <v>1485.4</v>
      </c>
      <c r="E92" s="1">
        <f>D92/D90*100</f>
        <v>1.3712920462476408</v>
      </c>
      <c r="F92" s="1">
        <f t="shared" si="10"/>
        <v>86.43081578028628</v>
      </c>
      <c r="G92" s="1">
        <f t="shared" si="8"/>
        <v>56.681675952072055</v>
      </c>
      <c r="H92" s="44">
        <f t="shared" si="11"/>
        <v>233.19999999999982</v>
      </c>
      <c r="I92" s="44">
        <f t="shared" si="9"/>
        <v>1135.1999999999998</v>
      </c>
      <c r="K92" s="132"/>
    </row>
    <row r="93" spans="1:11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  <c r="K93" s="132"/>
    </row>
    <row r="94" spans="1:11" ht="18.75" thickBot="1">
      <c r="A94" s="23" t="s">
        <v>28</v>
      </c>
      <c r="B94" s="43">
        <f>B90-B91-B92-B93</f>
        <v>7351.9</v>
      </c>
      <c r="C94" s="43">
        <f>C90-C91-C92-C93</f>
        <v>8011.9</v>
      </c>
      <c r="D94" s="43">
        <f>D90-D91-D92-D93</f>
        <v>5163.200000000035</v>
      </c>
      <c r="E94" s="1">
        <f>D94/D90*100</f>
        <v>4.7665646244687405</v>
      </c>
      <c r="F94" s="1">
        <f t="shared" si="10"/>
        <v>70.22946449217258</v>
      </c>
      <c r="G94" s="1">
        <f>D94/C94*100</f>
        <v>64.44413934272814</v>
      </c>
      <c r="H94" s="44">
        <f t="shared" si="11"/>
        <v>2188.6999999999643</v>
      </c>
      <c r="I94" s="44">
        <f>C94-D94</f>
        <v>2848.6999999999643</v>
      </c>
      <c r="K94" s="132"/>
    </row>
    <row r="95" spans="1:11" ht="18">
      <c r="A95" s="108" t="s">
        <v>12</v>
      </c>
      <c r="B95" s="128">
        <f>48891.1-50</f>
        <v>48841.1</v>
      </c>
      <c r="C95" s="112">
        <f>59880.5+5316.8+172.8+165-3329.3+408.2-3637.6-4530.7</f>
        <v>54445.700000000004</v>
      </c>
      <c r="D95" s="111">
        <f>158.8+434.4+321.9+32+1220.1+1621.7+82.6+1043.7+489.5+1835.3+427.5+91.3+190+524+63.3+11.3+68.3+293.9+953+327.8+2372.9+1+6.8+217.3+273.2+68.3-0.1+331.5+504+66.1+441.2+942.7+2276+81.9+57.4+38+675.8+274.5+35.7+263.7+3+29.9+269.5+461.5+44+1097.8+83.4+297.1+443.8+1.5+285.7+287.4+710.5+251.4+19.2+220.1+250.6+2+615.9+746.3+45.6+466.2+425.6+142.7+67.7+395.7+90+354.3+716.6+461.5+2+8.7+1653+100.2-0.1+799.4+672.8+360.8+1359.4+303.5+352.2+367.3+80.1+890.1+776.3+602.7-0.1+611.1+76+136.8+17.8+885+134.1+614.5+43.8+108.9+121.6+41.1+908.4-0.1+753.9+16.3+68+179.2+270.2+380+2.9+45.6+12.2+203.4+77.7+99.9+42+431.8+206.3+842.6+562.9+543.9</f>
        <v>45170.90000000001</v>
      </c>
      <c r="E95" s="107">
        <f>D95/D151*100</f>
        <v>3.353636399408132</v>
      </c>
      <c r="F95" s="110">
        <f t="shared" si="10"/>
        <v>92.48542723239241</v>
      </c>
      <c r="G95" s="106">
        <f>D95/C95*100</f>
        <v>82.96504590812499</v>
      </c>
      <c r="H95" s="111">
        <f t="shared" si="11"/>
        <v>3670.19999999999</v>
      </c>
      <c r="I95" s="121">
        <f>C95-D95</f>
        <v>9274.799999999996</v>
      </c>
      <c r="K95" s="132"/>
    </row>
    <row r="96" spans="1:11" ht="18.75" thickBot="1">
      <c r="A96" s="109" t="s">
        <v>84</v>
      </c>
      <c r="B96" s="113">
        <v>8568.8</v>
      </c>
      <c r="C96" s="114">
        <f>10660.3-133.5+11.8+210.8-0.1</f>
        <v>10749.299999999997</v>
      </c>
      <c r="D96" s="115">
        <f>69.1+1043.7+68.3+1051.8+1+68.3+66.1+938.4+3+68.7+11.3+4.3+734+67.7+6.3+0.4+21.5+2.2+658.8+0.1+17.8+71.8+130.4+525.1+460.8+17+3.6+18.3+567.4+6.6+33.7+842.6+39.7</f>
        <v>7619.800000000001</v>
      </c>
      <c r="E96" s="116">
        <f>D96/D95*100</f>
        <v>16.86882484077138</v>
      </c>
      <c r="F96" s="117">
        <f t="shared" si="10"/>
        <v>88.92493698067409</v>
      </c>
      <c r="G96" s="118">
        <f>D96/C96*100</f>
        <v>70.88647632869119</v>
      </c>
      <c r="H96" s="122">
        <f t="shared" si="11"/>
        <v>948.9999999999982</v>
      </c>
      <c r="I96" s="123">
        <f>C96-D96</f>
        <v>3129.4999999999964</v>
      </c>
      <c r="K96" s="132"/>
    </row>
    <row r="97" spans="1:11" ht="8.25" customHeight="1" thickBot="1">
      <c r="A97" s="18"/>
      <c r="B97" s="51"/>
      <c r="C97" s="60"/>
      <c r="D97" s="61"/>
      <c r="E97" s="6"/>
      <c r="F97" s="6"/>
      <c r="G97" s="6"/>
      <c r="H97" s="61"/>
      <c r="I97" s="61"/>
      <c r="K97" s="132"/>
    </row>
    <row r="98" spans="1:11" ht="18.75" hidden="1" thickBot="1">
      <c r="A98" s="27" t="s">
        <v>38</v>
      </c>
      <c r="B98" s="68"/>
      <c r="C98" s="69"/>
      <c r="D98" s="70"/>
      <c r="E98" s="3">
        <f>D98/D151*100</f>
        <v>0</v>
      </c>
      <c r="F98" s="3"/>
      <c r="G98" s="3" t="e">
        <f>D98/C98*100</f>
        <v>#DIV/0!</v>
      </c>
      <c r="H98" s="47"/>
      <c r="I98" s="47">
        <f>C98-D98</f>
        <v>0</v>
      </c>
      <c r="K98" s="132"/>
    </row>
    <row r="99" spans="1:11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0"/>
      <c r="K99" s="132"/>
    </row>
    <row r="100" spans="1:11" s="15" customFormat="1" ht="36" customHeight="1" hidden="1" thickBot="1">
      <c r="A100" s="13" t="s">
        <v>52</v>
      </c>
      <c r="B100" s="54"/>
      <c r="C100" s="46"/>
      <c r="D100" s="47"/>
      <c r="E100" s="3">
        <f>D100/D151*100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  <c r="K100" s="135"/>
    </row>
    <row r="101" spans="1:11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0"/>
      <c r="K101" s="132"/>
    </row>
    <row r="102" spans="1:11" s="37" customFormat="1" ht="18.75" thickBot="1">
      <c r="A102" s="13" t="s">
        <v>11</v>
      </c>
      <c r="B102" s="127">
        <v>10332.7</v>
      </c>
      <c r="C102" s="92">
        <f>12999.2-348+46.7-53.7+124.7-124.6+10.7+5.1+0.1+19.5-3.3</f>
        <v>12676.400000000003</v>
      </c>
      <c r="D102" s="79">
        <f>139.4+4+202+15.3+32.9+18.1+0.4+4+39.7+141.6+9.9+31.3+27.6+1.1+399+127.2+7.6+63.2+113+70.6+140+195.7+6.2+179.8+200.1+39.2+404.4+43.9+5.5+14.3+123.2+146.6+30.6+5+8.3+5+134.6+84.2+7.5+24+0.1+12.8+4.1+20+155.6+28+34.9+33.6+66.7+51.2+8+27.4+19.4-0.1+38.6+147.1+62.7+13.6+82.7+577.3+569.7+134.9+13.5+74.3+8.5+12.4+0.1+19.5+17.6+15.7+140.2+40.1+12.6+18.3+29.7+8+7+16.7+18.1+20.7+112.4+22.4-0.1+2.4-2.4+18.4+147+20.4+3.9+28.8+6+4+53.3+5+35.4+9.5+57.3+47.4+33.7+36.7+0.1+31.7+5.4+20.8+1.4+162.2+4.9+13.9+13.7+11.7+85.5+86.8+9+46.7+11.2+55.4+16.2+137.7+25.8+13+5.8</f>
        <v>7207.699999999994</v>
      </c>
      <c r="E102" s="19">
        <f>D102/D151*100</f>
        <v>0.535123388642112</v>
      </c>
      <c r="F102" s="19">
        <f>D102/B102*100</f>
        <v>69.7562108645368</v>
      </c>
      <c r="G102" s="19">
        <f aca="true" t="shared" si="12" ref="G102:G149">D102/C102*100</f>
        <v>56.85920292827611</v>
      </c>
      <c r="H102" s="79">
        <f aca="true" t="shared" si="13" ref="H102:H107">B102-D102</f>
        <v>3125.0000000000064</v>
      </c>
      <c r="I102" s="79">
        <f aca="true" t="shared" si="14" ref="I102:I149">C102-D102</f>
        <v>5468.700000000009</v>
      </c>
      <c r="K102" s="133"/>
    </row>
    <row r="103" spans="1:11" ht="18">
      <c r="A103" s="23" t="s">
        <v>3</v>
      </c>
      <c r="B103" s="89">
        <v>240.4</v>
      </c>
      <c r="C103" s="87">
        <v>259.1</v>
      </c>
      <c r="D103" s="87">
        <f>17.3+10+11+0.1+10.9+18.9+0.1+11+25.2+18.3+2.4+10.6+13.7+13.9+13.8+13</f>
        <v>190.2</v>
      </c>
      <c r="E103" s="83">
        <f>D103/D102*100</f>
        <v>2.6388445690025963</v>
      </c>
      <c r="F103" s="1">
        <f>D103/B103*100</f>
        <v>79.11813643926789</v>
      </c>
      <c r="G103" s="83">
        <f>D103/C103*100</f>
        <v>73.40795059822462</v>
      </c>
      <c r="H103" s="87">
        <f t="shared" si="13"/>
        <v>50.20000000000002</v>
      </c>
      <c r="I103" s="87">
        <f t="shared" si="14"/>
        <v>68.90000000000003</v>
      </c>
      <c r="K103" s="132"/>
    </row>
    <row r="104" spans="1:11" ht="18">
      <c r="A104" s="85" t="s">
        <v>49</v>
      </c>
      <c r="B104" s="74">
        <v>8337.3</v>
      </c>
      <c r="C104" s="44">
        <f>10720.8-348+46.7-56.3+125.1-124.6-51.5+5.1+21.6-3.3</f>
        <v>10335.600000000002</v>
      </c>
      <c r="D104" s="44">
        <f>139.3+4+202+15.3-0.1+4+25.4+141.4+9.8+31.2+1.1+390.1+50+2+0.1+51.6+111.9+69.9+132+193.8+143.3+175.1+39.1+393+24.9+117+131.2+30.6+5+5+134.6+137.3+5+34.9+31.2+66.7+136.1+61.2+82.4+574+566.9+64.7+43+15.7+140+40.1+6+29.7+8+7+16.7+2+18.1+20.7+40+18.4+137.5+3.9+28.8+6+4+42.7+5+57.3+22.1+20.8+162.1+4.9+11.7+85.5+19.5+55.4+137.7+25.8+5.8</f>
        <v>5775.899999999999</v>
      </c>
      <c r="E104" s="1">
        <f>D104/D102*100</f>
        <v>80.13513326026337</v>
      </c>
      <c r="F104" s="1">
        <f aca="true" t="shared" si="15" ref="F104:F149">D104/B104*100</f>
        <v>69.27782375589219</v>
      </c>
      <c r="G104" s="1">
        <f t="shared" si="12"/>
        <v>55.88354812492741</v>
      </c>
      <c r="H104" s="44">
        <f t="shared" si="13"/>
        <v>2561.4000000000005</v>
      </c>
      <c r="I104" s="44">
        <f t="shared" si="14"/>
        <v>4559.7000000000035</v>
      </c>
      <c r="K104" s="132"/>
    </row>
    <row r="105" spans="1:11" ht="55.5" hidden="1" thickBot="1">
      <c r="A105" s="86" t="s">
        <v>80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3">
        <f t="shared" si="13"/>
        <v>0</v>
      </c>
      <c r="I105" s="123">
        <f>C105-D105</f>
        <v>0</v>
      </c>
      <c r="K105" s="132"/>
    </row>
    <row r="106" spans="1:11" ht="18.75" thickBot="1">
      <c r="A106" s="86" t="s">
        <v>28</v>
      </c>
      <c r="B106" s="88">
        <f>B102-B103-B104</f>
        <v>1755.0000000000018</v>
      </c>
      <c r="C106" s="88">
        <f>C102-C103-C104</f>
        <v>2081.7000000000007</v>
      </c>
      <c r="D106" s="88">
        <f>D102-D103-D104</f>
        <v>1241.5999999999958</v>
      </c>
      <c r="E106" s="84">
        <f>D106/D102*100</f>
        <v>17.22602217073403</v>
      </c>
      <c r="F106" s="84">
        <f t="shared" si="15"/>
        <v>70.74643874643843</v>
      </c>
      <c r="G106" s="84">
        <f t="shared" si="12"/>
        <v>59.64356055147213</v>
      </c>
      <c r="H106" s="123">
        <f>B106-D106</f>
        <v>513.400000000006</v>
      </c>
      <c r="I106" s="123">
        <f t="shared" si="14"/>
        <v>840.1000000000049</v>
      </c>
      <c r="K106" s="132"/>
    </row>
    <row r="107" spans="1:9" s="2" customFormat="1" ht="26.25" customHeight="1" thickBot="1">
      <c r="A107" s="80" t="s">
        <v>29</v>
      </c>
      <c r="B107" s="81">
        <f>SUM(B108:B148)-B115-B119+B149-B140-B141-B109-B112-B122-B123-B138-B131-B129-B136</f>
        <v>414641.30000000005</v>
      </c>
      <c r="C107" s="81">
        <f>SUM(C108:C148)-C115-C119+C149-C140-C141-C109-C112-C122-C123-C138-C131-C129-C136</f>
        <v>519782.6</v>
      </c>
      <c r="D107" s="81">
        <f>SUM(D108:D148)-D115-D119+D149-D140-D141-D109-D112-D122-D123-D138-D131-D129-D136</f>
        <v>361906.80000000005</v>
      </c>
      <c r="E107" s="82">
        <f>D107/D151*100</f>
        <v>26.86915287659354</v>
      </c>
      <c r="F107" s="82">
        <f>D107/B107*100</f>
        <v>87.28189883641596</v>
      </c>
      <c r="G107" s="82">
        <f t="shared" si="12"/>
        <v>69.62657080094641</v>
      </c>
      <c r="H107" s="81">
        <f t="shared" si="13"/>
        <v>52734.5</v>
      </c>
      <c r="I107" s="81">
        <f t="shared" si="14"/>
        <v>157875.79999999993</v>
      </c>
    </row>
    <row r="108" spans="1:9" ht="36.75">
      <c r="A108" s="28" t="s">
        <v>53</v>
      </c>
      <c r="B108" s="71">
        <v>3174.6</v>
      </c>
      <c r="C108" s="67">
        <v>4095.6</v>
      </c>
      <c r="D108" s="72">
        <f>12.6+3.2+110.8+149.9+0.1+86+66+19.9+30.9+1.3+4.4+3.9+8.5+1.6+0.1+167.2+12.2+0.7+2+1.4+0.1+115.6+14.7+10.7+8.1+0.6+3.1+4.1+2.8-0.2+122.3+40.3+0.6+1.6+1.5+0.1+131+0.3+1.6+2.9+14.2+140+2+0.9+3.7+15.5+3.2+1.5+3.5+0.3+5+1.2-0.5+123.5+3.6+38.8+0.7+6.4+61.6+58.5+3.9+2.1+5.7+7.3</f>
        <v>1647.1000000000004</v>
      </c>
      <c r="E108" s="6">
        <f>D108/D107*100</f>
        <v>0.45511717381381067</v>
      </c>
      <c r="F108" s="6">
        <f t="shared" si="15"/>
        <v>51.883701883701896</v>
      </c>
      <c r="G108" s="6">
        <f t="shared" si="12"/>
        <v>40.2163297196992</v>
      </c>
      <c r="H108" s="61">
        <f aca="true" t="shared" si="16" ref="H108:H149">B108-D108</f>
        <v>1527.4999999999995</v>
      </c>
      <c r="I108" s="61">
        <f t="shared" si="14"/>
        <v>2448.4999999999995</v>
      </c>
    </row>
    <row r="109" spans="1:9" ht="18">
      <c r="A109" s="23" t="s">
        <v>26</v>
      </c>
      <c r="B109" s="74">
        <v>1934.9</v>
      </c>
      <c r="C109" s="44">
        <v>2633.8</v>
      </c>
      <c r="D109" s="75">
        <f>68.3+138.7+47.8+60.9+18.1+30+81.4+40.6+14.7+2.7+31.2+33.2+49.1+0.8+32+30.3</f>
        <v>679.8000000000001</v>
      </c>
      <c r="E109" s="1">
        <f>D109/D108*100</f>
        <v>41.272539615081044</v>
      </c>
      <c r="F109" s="1">
        <f t="shared" si="15"/>
        <v>35.133598635588406</v>
      </c>
      <c r="G109" s="1">
        <f t="shared" si="12"/>
        <v>25.810615840230845</v>
      </c>
      <c r="H109" s="44">
        <f t="shared" si="16"/>
        <v>1255.1</v>
      </c>
      <c r="I109" s="44">
        <f t="shared" si="14"/>
        <v>1954</v>
      </c>
    </row>
    <row r="110" spans="1:9" ht="34.5" customHeight="1">
      <c r="A110" s="16" t="s">
        <v>79</v>
      </c>
      <c r="B110" s="73">
        <v>993.8</v>
      </c>
      <c r="C110" s="61">
        <v>1175.4</v>
      </c>
      <c r="D110" s="72">
        <f>11.8+87.5+28+44.4+7.5+8.9+32.2+39.5+59.2+220.2+6.2+18.8+4.5</f>
        <v>568.7</v>
      </c>
      <c r="E110" s="6">
        <f>D110/D107*100</f>
        <v>0.15713990452790608</v>
      </c>
      <c r="F110" s="6">
        <f>D110/B110*100</f>
        <v>57.22479372107065</v>
      </c>
      <c r="G110" s="6">
        <f t="shared" si="12"/>
        <v>48.38352901140037</v>
      </c>
      <c r="H110" s="61">
        <f t="shared" si="16"/>
        <v>425.0999999999999</v>
      </c>
      <c r="I110" s="61">
        <f t="shared" si="14"/>
        <v>606.7</v>
      </c>
    </row>
    <row r="111" spans="1:9" s="37" customFormat="1" ht="34.5" customHeight="1">
      <c r="A111" s="16" t="s">
        <v>98</v>
      </c>
      <c r="B111" s="73">
        <v>196.7</v>
      </c>
      <c r="C111" s="53">
        <v>196.7</v>
      </c>
      <c r="D111" s="76"/>
      <c r="E111" s="6">
        <f>D111/D107*100</f>
        <v>0</v>
      </c>
      <c r="F111" s="124">
        <f t="shared" si="15"/>
        <v>0</v>
      </c>
      <c r="G111" s="6">
        <f t="shared" si="12"/>
        <v>0</v>
      </c>
      <c r="H111" s="61">
        <f t="shared" si="16"/>
        <v>196.7</v>
      </c>
      <c r="I111" s="61">
        <f t="shared" si="14"/>
        <v>196.7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">
      <c r="A113" s="16" t="s">
        <v>93</v>
      </c>
      <c r="B113" s="73">
        <v>60</v>
      </c>
      <c r="C113" s="61">
        <v>60</v>
      </c>
      <c r="D113" s="72">
        <f>9.1+9.1+9.8+2.5</f>
        <v>30.5</v>
      </c>
      <c r="E113" s="6">
        <f>D113/D107*100</f>
        <v>0.008427584118342069</v>
      </c>
      <c r="F113" s="6">
        <f t="shared" si="15"/>
        <v>50.83333333333333</v>
      </c>
      <c r="G113" s="6">
        <f t="shared" si="12"/>
        <v>50.83333333333333</v>
      </c>
      <c r="H113" s="61">
        <f t="shared" si="16"/>
        <v>29.5</v>
      </c>
      <c r="I113" s="61">
        <f t="shared" si="14"/>
        <v>29.5</v>
      </c>
    </row>
    <row r="114" spans="1:9" ht="36.75">
      <c r="A114" s="16" t="s">
        <v>39</v>
      </c>
      <c r="B114" s="73">
        <v>2482.8</v>
      </c>
      <c r="C114" s="61">
        <f>2915.4+6.2+77.9</f>
        <v>2999.5</v>
      </c>
      <c r="D114" s="72">
        <f>136.4+40+10+2+0.1+10.6+142+54.3+10.6+6.6+21.9+41.3+8.2+239.5+0.2+6.2+0.7+26.9+145.7+54.9+4+2+1.1+3.5+2.2+195.9+3.8+0.4+0.2+181.5+10+1.7+7.3+203.7+0.1+6.2+185.1+14.5+72+29.1+0.3+192.4</f>
        <v>2075.1</v>
      </c>
      <c r="E114" s="6">
        <f>D114/D107*100</f>
        <v>0.5733796657039878</v>
      </c>
      <c r="F114" s="6">
        <f t="shared" si="15"/>
        <v>83.5790236829386</v>
      </c>
      <c r="G114" s="6">
        <f t="shared" si="12"/>
        <v>69.1815302550425</v>
      </c>
      <c r="H114" s="61">
        <f t="shared" si="16"/>
        <v>407.7000000000003</v>
      </c>
      <c r="I114" s="61">
        <f t="shared" si="14"/>
        <v>924.4000000000001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94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6.75">
      <c r="A117" s="16" t="s">
        <v>48</v>
      </c>
      <c r="B117" s="73">
        <v>199</v>
      </c>
      <c r="C117" s="61">
        <f>99+100</f>
        <v>199</v>
      </c>
      <c r="D117" s="72">
        <f>18</f>
        <v>18</v>
      </c>
      <c r="E117" s="6">
        <f>D117/D107*100</f>
        <v>0.004973656200988762</v>
      </c>
      <c r="F117" s="6">
        <f>D117/B117*100</f>
        <v>9.045226130653267</v>
      </c>
      <c r="G117" s="6">
        <f t="shared" si="12"/>
        <v>9.045226130653267</v>
      </c>
      <c r="H117" s="61">
        <f t="shared" si="16"/>
        <v>181</v>
      </c>
      <c r="I117" s="61">
        <f t="shared" si="14"/>
        <v>181</v>
      </c>
    </row>
    <row r="118" spans="1:9" s="2" customFormat="1" ht="18">
      <c r="A118" s="16" t="s">
        <v>15</v>
      </c>
      <c r="B118" s="73">
        <v>334.8</v>
      </c>
      <c r="C118" s="53">
        <v>422.8</v>
      </c>
      <c r="D118" s="72">
        <f>39+5+6.2+39.1+4.9+0.4+0.8+39+0.1+5.5+0.9+39+4.8+1.3+39-0.1+0.8+0.4+5+0.8+5.1+0.2+0.4+2.2+3.5+39+0.4+3+0.8+39</f>
        <v>325.50000000000006</v>
      </c>
      <c r="E118" s="6">
        <f>D118/D107*100</f>
        <v>0.08994028296788013</v>
      </c>
      <c r="F118" s="6">
        <f t="shared" si="15"/>
        <v>97.22222222222223</v>
      </c>
      <c r="G118" s="6">
        <f t="shared" si="12"/>
        <v>76.98675496688743</v>
      </c>
      <c r="H118" s="61">
        <f t="shared" si="16"/>
        <v>9.299999999999955</v>
      </c>
      <c r="I118" s="61">
        <f t="shared" si="14"/>
        <v>97.29999999999995</v>
      </c>
    </row>
    <row r="119" spans="1:9" s="32" customFormat="1" ht="18">
      <c r="A119" s="33" t="s">
        <v>44</v>
      </c>
      <c r="B119" s="74">
        <v>273.3</v>
      </c>
      <c r="C119" s="44">
        <v>351.4</v>
      </c>
      <c r="D119" s="75">
        <f>39+39.1+39+39.1+39+39+39</f>
        <v>273.2</v>
      </c>
      <c r="E119" s="1">
        <f>D119/D118*100</f>
        <v>83.93241167434714</v>
      </c>
      <c r="F119" s="1">
        <f t="shared" si="15"/>
        <v>99.96341017197217</v>
      </c>
      <c r="G119" s="1">
        <f t="shared" si="12"/>
        <v>77.74615822424587</v>
      </c>
      <c r="H119" s="44">
        <f t="shared" si="16"/>
        <v>0.10000000000002274</v>
      </c>
      <c r="I119" s="44">
        <f t="shared" si="14"/>
        <v>78.19999999999999</v>
      </c>
    </row>
    <row r="120" spans="1:9" s="2" customFormat="1" ht="18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99</v>
      </c>
      <c r="B121" s="73">
        <v>520</v>
      </c>
      <c r="C121" s="53">
        <v>520</v>
      </c>
      <c r="D121" s="76">
        <f>49.4+11+30.6+15.4</f>
        <v>106.4</v>
      </c>
      <c r="E121" s="17">
        <f>D121/D107*100</f>
        <v>0.029399834432511353</v>
      </c>
      <c r="F121" s="6">
        <f t="shared" si="15"/>
        <v>20.46153846153846</v>
      </c>
      <c r="G121" s="6">
        <f t="shared" si="12"/>
        <v>20.46153846153846</v>
      </c>
      <c r="H121" s="61">
        <f t="shared" si="16"/>
        <v>413.6</v>
      </c>
      <c r="I121" s="61">
        <f t="shared" si="14"/>
        <v>413.6</v>
      </c>
    </row>
    <row r="122" spans="1:9" s="102" customFormat="1" ht="18" hidden="1">
      <c r="A122" s="23" t="s">
        <v>81</v>
      </c>
      <c r="B122" s="74"/>
      <c r="C122" s="44"/>
      <c r="D122" s="75"/>
      <c r="E122" s="6"/>
      <c r="F122" s="103" t="e">
        <f>D122/B122*100</f>
        <v>#DIV/0!</v>
      </c>
      <c r="G122" s="1" t="e">
        <f t="shared" si="12"/>
        <v>#DIV/0!</v>
      </c>
      <c r="H122" s="44">
        <f t="shared" si="16"/>
        <v>0</v>
      </c>
      <c r="I122" s="44">
        <f t="shared" si="14"/>
        <v>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6.75">
      <c r="A124" s="16" t="s">
        <v>100</v>
      </c>
      <c r="B124" s="73">
        <v>33189.6</v>
      </c>
      <c r="C124" s="53">
        <f>33585.8+9933.2-1212.8-350-61.4</f>
        <v>41894.799999999996</v>
      </c>
      <c r="D124" s="76">
        <f>3483.8+2635.6+1853.3+812.9+1333.3+1694.1+1722.4+661.9+934+1328+225+1781.5+1097.2+0.1+1902.6+1343+1822.5+1392+1771.1+3307.3</f>
        <v>31101.599999999995</v>
      </c>
      <c r="E124" s="17">
        <f>D124/D107*100</f>
        <v>8.593814761148447</v>
      </c>
      <c r="F124" s="6">
        <f t="shared" si="15"/>
        <v>93.70887265890518</v>
      </c>
      <c r="G124" s="6">
        <f t="shared" si="12"/>
        <v>74.23737552154444</v>
      </c>
      <c r="H124" s="61">
        <f t="shared" si="16"/>
        <v>2088.0000000000036</v>
      </c>
      <c r="I124" s="61">
        <f t="shared" si="14"/>
        <v>10793.2</v>
      </c>
    </row>
    <row r="125" spans="1:9" s="2" customFormat="1" ht="18">
      <c r="A125" s="16" t="s">
        <v>95</v>
      </c>
      <c r="B125" s="73">
        <v>695</v>
      </c>
      <c r="C125" s="53">
        <f>585+110</f>
        <v>695</v>
      </c>
      <c r="D125" s="76">
        <f>10+6+64.3</f>
        <v>80.3</v>
      </c>
      <c r="E125" s="17">
        <f>D125/D107*100</f>
        <v>0.022188032941077643</v>
      </c>
      <c r="F125" s="6">
        <f t="shared" si="15"/>
        <v>11.553956834532373</v>
      </c>
      <c r="G125" s="6">
        <f t="shared" si="12"/>
        <v>11.553956834532373</v>
      </c>
      <c r="H125" s="61">
        <f t="shared" si="16"/>
        <v>614.7</v>
      </c>
      <c r="I125" s="61">
        <f t="shared" si="14"/>
        <v>614.7</v>
      </c>
    </row>
    <row r="126" spans="1:12" s="2" customFormat="1" ht="36.75">
      <c r="A126" s="16" t="s">
        <v>105</v>
      </c>
      <c r="B126" s="73">
        <v>200</v>
      </c>
      <c r="C126" s="53">
        <v>200</v>
      </c>
      <c r="D126" s="76"/>
      <c r="E126" s="17">
        <f>D126/D107*100</f>
        <v>0</v>
      </c>
      <c r="F126" s="6">
        <f t="shared" si="15"/>
        <v>0</v>
      </c>
      <c r="G126" s="6">
        <f t="shared" si="12"/>
        <v>0</v>
      </c>
      <c r="H126" s="61">
        <f t="shared" si="16"/>
        <v>200</v>
      </c>
      <c r="I126" s="61">
        <f t="shared" si="14"/>
        <v>200</v>
      </c>
      <c r="L126" s="129"/>
    </row>
    <row r="127" spans="1:9" s="2" customFormat="1" ht="36.75">
      <c r="A127" s="16" t="s">
        <v>86</v>
      </c>
      <c r="B127" s="73">
        <v>81.6</v>
      </c>
      <c r="C127" s="53">
        <v>81.6</v>
      </c>
      <c r="D127" s="76">
        <v>19.7</v>
      </c>
      <c r="E127" s="17">
        <f>D127/D107*100</f>
        <v>0.0054433903977488115</v>
      </c>
      <c r="F127" s="6">
        <f t="shared" si="15"/>
        <v>24.142156862745097</v>
      </c>
      <c r="G127" s="6">
        <f t="shared" si="12"/>
        <v>24.142156862745097</v>
      </c>
      <c r="H127" s="61">
        <f t="shared" si="16"/>
        <v>61.89999999999999</v>
      </c>
      <c r="I127" s="61">
        <f t="shared" si="14"/>
        <v>61.89999999999999</v>
      </c>
    </row>
    <row r="128" spans="1:9" s="2" customFormat="1" ht="36.75">
      <c r="A128" s="16" t="s">
        <v>58</v>
      </c>
      <c r="B128" s="73">
        <f>1016.6</f>
        <v>1016.6</v>
      </c>
      <c r="C128" s="53">
        <f>1253.3-122</f>
        <v>1131.3</v>
      </c>
      <c r="D128" s="76">
        <f>6.5+6.7+0.9+10.2+6.4+2.4+29+2.5+26.7+1.1+7.5+20.9+3.3+0.1+0.6+54.3+6.4+19+6.4-0.2+0.9+1+0.1+24+11.8+60.3+1.8+4+2+10.5+0.5+0.1+1.1+56.8+0.1-0.1+8.7+10.4+6.4+43.4+6.5+23.9+0.2+0.1</f>
        <v>485.2</v>
      </c>
      <c r="E128" s="17">
        <f>D128/D107*100</f>
        <v>0.13406766603998596</v>
      </c>
      <c r="F128" s="6">
        <f t="shared" si="15"/>
        <v>47.727719850481996</v>
      </c>
      <c r="G128" s="6">
        <f t="shared" si="12"/>
        <v>42.88871210112261</v>
      </c>
      <c r="H128" s="61">
        <f t="shared" si="16"/>
        <v>531.4000000000001</v>
      </c>
      <c r="I128" s="61">
        <f t="shared" si="14"/>
        <v>646.0999999999999</v>
      </c>
    </row>
    <row r="129" spans="1:9" s="32" customFormat="1" ht="18">
      <c r="A129" s="23" t="s">
        <v>89</v>
      </c>
      <c r="B129" s="74">
        <f>231.8</f>
        <v>231.8</v>
      </c>
      <c r="C129" s="44">
        <f>459.6-122</f>
        <v>337.6</v>
      </c>
      <c r="D129" s="75">
        <f>6.4+6.4+6.4+6.4+6.4+24+6.4+56.8+6.4+6.4+6.5</f>
        <v>138.5</v>
      </c>
      <c r="E129" s="1">
        <f>D129/D128*100</f>
        <v>28.544929925803793</v>
      </c>
      <c r="F129" s="1">
        <f>D129/B129*100</f>
        <v>59.74978429680758</v>
      </c>
      <c r="G129" s="1">
        <f t="shared" si="12"/>
        <v>41.024881516587676</v>
      </c>
      <c r="H129" s="44">
        <f t="shared" si="16"/>
        <v>93.30000000000001</v>
      </c>
      <c r="I129" s="44">
        <f t="shared" si="14"/>
        <v>199.10000000000002</v>
      </c>
    </row>
    <row r="130" spans="1:9" s="2" customFormat="1" ht="36.75" hidden="1">
      <c r="A130" s="16" t="s">
        <v>96</v>
      </c>
      <c r="B130" s="73"/>
      <c r="C130" s="53"/>
      <c r="D130" s="76"/>
      <c r="E130" s="17">
        <f>D130/D107*100</f>
        <v>0</v>
      </c>
      <c r="F130" s="124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>
      <c r="A132" s="16" t="s">
        <v>107</v>
      </c>
      <c r="B132" s="73">
        <v>190</v>
      </c>
      <c r="C132" s="53">
        <v>190</v>
      </c>
      <c r="D132" s="76"/>
      <c r="E132" s="17">
        <f>D132/D107*100</f>
        <v>0</v>
      </c>
      <c r="F132" s="6">
        <f t="shared" si="15"/>
        <v>0</v>
      </c>
      <c r="G132" s="6">
        <f t="shared" si="12"/>
        <v>0</v>
      </c>
      <c r="H132" s="61">
        <f t="shared" si="16"/>
        <v>190</v>
      </c>
      <c r="I132" s="61">
        <f>C132-D132</f>
        <v>190</v>
      </c>
    </row>
    <row r="133" spans="1:9" s="2" customFormat="1" ht="21.75" customHeight="1">
      <c r="A133" s="16" t="s">
        <v>106</v>
      </c>
      <c r="B133" s="73">
        <v>926.2</v>
      </c>
      <c r="C133" s="53">
        <f>1+925.2</f>
        <v>926.2</v>
      </c>
      <c r="D133" s="76">
        <f>926.2</f>
        <v>926.2</v>
      </c>
      <c r="E133" s="17">
        <f>D133/D107*100</f>
        <v>0.2559222429642106</v>
      </c>
      <c r="F133" s="6">
        <f t="shared" si="15"/>
        <v>100</v>
      </c>
      <c r="G133" s="6">
        <f t="shared" si="12"/>
        <v>100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88</v>
      </c>
      <c r="B134" s="73">
        <v>90.1</v>
      </c>
      <c r="C134" s="53">
        <v>108.1</v>
      </c>
      <c r="D134" s="76">
        <f>3.8+10.3+1.3+2-0.1+1.7</f>
        <v>19</v>
      </c>
      <c r="E134" s="17">
        <f>D134/D107*100</f>
        <v>0.005249970434377026</v>
      </c>
      <c r="F134" s="6">
        <f t="shared" si="15"/>
        <v>21.087680355160934</v>
      </c>
      <c r="G134" s="6">
        <f t="shared" si="12"/>
        <v>17.576318223866792</v>
      </c>
      <c r="H134" s="61">
        <f t="shared" si="16"/>
        <v>71.1</v>
      </c>
      <c r="I134" s="61">
        <f t="shared" si="14"/>
        <v>89.1</v>
      </c>
    </row>
    <row r="135" spans="1:9" s="2" customFormat="1" ht="39" customHeight="1">
      <c r="A135" s="16" t="s">
        <v>55</v>
      </c>
      <c r="B135" s="73">
        <v>470</v>
      </c>
      <c r="C135" s="53">
        <v>626.8</v>
      </c>
      <c r="D135" s="76">
        <f>1.2+14.1+4+6.1+23.5</f>
        <v>48.9</v>
      </c>
      <c r="E135" s="17">
        <f>D135/D107*100</f>
        <v>0.013511766012686138</v>
      </c>
      <c r="F135" s="6">
        <f t="shared" si="15"/>
        <v>10.404255319148936</v>
      </c>
      <c r="G135" s="6">
        <f t="shared" si="12"/>
        <v>7.801531589023612</v>
      </c>
      <c r="H135" s="61">
        <f t="shared" si="16"/>
        <v>421.1</v>
      </c>
      <c r="I135" s="61">
        <f t="shared" si="14"/>
        <v>577.9</v>
      </c>
    </row>
    <row r="136" spans="1:9" s="32" customFormat="1" ht="18">
      <c r="A136" s="23" t="s">
        <v>89</v>
      </c>
      <c r="B136" s="74">
        <v>310</v>
      </c>
      <c r="C136" s="44">
        <v>400</v>
      </c>
      <c r="D136" s="75">
        <f>1.2+4+6.1+23.5</f>
        <v>34.8</v>
      </c>
      <c r="E136" s="1"/>
      <c r="F136" s="6">
        <f>D136/B136*100</f>
        <v>11.225806451612902</v>
      </c>
      <c r="G136" s="1">
        <f>D136/C136*100</f>
        <v>8.7</v>
      </c>
      <c r="H136" s="44">
        <f>B136-D136</f>
        <v>275.2</v>
      </c>
      <c r="I136" s="44">
        <f>C136-D136</f>
        <v>365.2</v>
      </c>
    </row>
    <row r="137" spans="1:9" s="2" customFormat="1" ht="36.75">
      <c r="A137" s="16" t="s">
        <v>85</v>
      </c>
      <c r="B137" s="73">
        <v>313</v>
      </c>
      <c r="C137" s="53">
        <v>381.2</v>
      </c>
      <c r="D137" s="76">
        <f>0.5+1.3+15.9+33.5+3+0.6+15.2+1.3+36.5+1.9+0.3+0.3+0.6+5+2+16.5+0.1+0.5+1.2+18.6-0.1+0.3+0.5+0.5+16+2+17.3+2.1+0.4+0.7+25.9+2.2+17.9+2.1+0.8+15.3</f>
        <v>258.7</v>
      </c>
      <c r="E137" s="17">
        <f>D137/D107*100</f>
        <v>0.07148249217754404</v>
      </c>
      <c r="F137" s="6">
        <f>D137/B137*100</f>
        <v>82.6517571884984</v>
      </c>
      <c r="G137" s="6">
        <f>D137/C137*100</f>
        <v>67.86463798530956</v>
      </c>
      <c r="H137" s="61">
        <f t="shared" si="16"/>
        <v>54.30000000000001</v>
      </c>
      <c r="I137" s="61">
        <f t="shared" si="14"/>
        <v>122.5</v>
      </c>
    </row>
    <row r="138" spans="1:9" s="32" customFormat="1" ht="18">
      <c r="A138" s="23" t="s">
        <v>26</v>
      </c>
      <c r="B138" s="74">
        <v>251.2</v>
      </c>
      <c r="C138" s="44">
        <v>306.1</v>
      </c>
      <c r="D138" s="75">
        <f>15.9+33.5+15.2+36.5+0.3+4.6+16.5-0.1+1.2+16+0.3+16+0.1+16.2+0.3+25.4+16.9+0.3+14.8</f>
        <v>229.90000000000003</v>
      </c>
      <c r="E138" s="1">
        <f>D138/D137*100</f>
        <v>88.86741399304215</v>
      </c>
      <c r="F138" s="1">
        <f t="shared" si="15"/>
        <v>91.52070063694269</v>
      </c>
      <c r="G138" s="1">
        <f>D138/C138*100</f>
        <v>75.10617445279321</v>
      </c>
      <c r="H138" s="44">
        <f t="shared" si="16"/>
        <v>21.299999999999955</v>
      </c>
      <c r="I138" s="44">
        <f t="shared" si="14"/>
        <v>76.19999999999999</v>
      </c>
    </row>
    <row r="139" spans="1:9" s="2" customFormat="1" ht="18">
      <c r="A139" s="16" t="s">
        <v>101</v>
      </c>
      <c r="B139" s="73">
        <v>1284.9</v>
      </c>
      <c r="C139" s="53">
        <f>1397.4+115.2</f>
        <v>1512.6000000000001</v>
      </c>
      <c r="D139" s="76">
        <f>26+59.9+0.4-0.1+0.1+27.3+5.8+57.7+6.3+46.3+13.6+50.5+6-0.1+43.3+3.1+0.2+52.2+16.7+42.4+4.7+8+55+5.3+39.2+0.5+5+82.1+95.1+0.2+73.5+79.4+74.3-0.2+13.8+17.8+27+18+79.9+50.5</f>
        <v>1186.6999999999998</v>
      </c>
      <c r="E139" s="17">
        <f>D139/D107*100</f>
        <v>0.3279021007618535</v>
      </c>
      <c r="F139" s="6">
        <f t="shared" si="15"/>
        <v>92.3573818974239</v>
      </c>
      <c r="G139" s="6">
        <f t="shared" si="12"/>
        <v>78.45431706994577</v>
      </c>
      <c r="H139" s="61">
        <f t="shared" si="16"/>
        <v>98.20000000000027</v>
      </c>
      <c r="I139" s="61">
        <f t="shared" si="14"/>
        <v>325.9000000000003</v>
      </c>
    </row>
    <row r="140" spans="1:9" s="32" customFormat="1" ht="18">
      <c r="A140" s="33" t="s">
        <v>44</v>
      </c>
      <c r="B140" s="74">
        <v>1003.6</v>
      </c>
      <c r="C140" s="44">
        <f>1063.5+115.2</f>
        <v>1178.7</v>
      </c>
      <c r="D140" s="75">
        <f>26+59.9+27.3+57.1-0.1+46.3+42.7-0.1+36.4+51.8+8.5+28+53.1+4.3+35.3+82.1+45.8+73.5+42.3+73.9-0.1+13.8+27+76+32.8</f>
        <v>943.5999999999998</v>
      </c>
      <c r="E140" s="1">
        <f>D140/D139*100</f>
        <v>79.51462037583214</v>
      </c>
      <c r="F140" s="1">
        <f aca="true" t="shared" si="17" ref="F140:F148">D140/B140*100</f>
        <v>94.02152251893182</v>
      </c>
      <c r="G140" s="1">
        <f t="shared" si="12"/>
        <v>80.05429710698225</v>
      </c>
      <c r="H140" s="44">
        <f t="shared" si="16"/>
        <v>60.00000000000023</v>
      </c>
      <c r="I140" s="44">
        <f t="shared" si="14"/>
        <v>235.10000000000025</v>
      </c>
    </row>
    <row r="141" spans="1:9" s="32" customFormat="1" ht="18">
      <c r="A141" s="23" t="s">
        <v>26</v>
      </c>
      <c r="B141" s="74">
        <v>27.6</v>
      </c>
      <c r="C141" s="44">
        <v>37.5</v>
      </c>
      <c r="D141" s="75">
        <f>0.4+5.6+0.6+6+0.1+3.7+0.1+0.4+1+0.3+0.3+0.3+0.2-0.1+0.3</f>
        <v>19.2</v>
      </c>
      <c r="E141" s="1">
        <f>D141/D139*100</f>
        <v>1.6179320805595352</v>
      </c>
      <c r="F141" s="1">
        <f t="shared" si="17"/>
        <v>69.56521739130434</v>
      </c>
      <c r="G141" s="1">
        <f>D141/C141*100</f>
        <v>51.2</v>
      </c>
      <c r="H141" s="44">
        <f t="shared" si="16"/>
        <v>8.400000000000002</v>
      </c>
      <c r="I141" s="44">
        <f t="shared" si="14"/>
        <v>18.3</v>
      </c>
    </row>
    <row r="142" spans="1:9" s="2" customFormat="1" ht="33.75" customHeight="1">
      <c r="A142" s="18" t="s">
        <v>57</v>
      </c>
      <c r="B142" s="73">
        <v>1873.1</v>
      </c>
      <c r="C142" s="53">
        <f>200+300+1250+175</f>
        <v>1925</v>
      </c>
      <c r="D142" s="76">
        <f>300+200+174+176.9</f>
        <v>850.9</v>
      </c>
      <c r="E142" s="17">
        <f>D142/D107*100</f>
        <v>0.2351157811900743</v>
      </c>
      <c r="F142" s="99">
        <f t="shared" si="17"/>
        <v>45.427366397949925</v>
      </c>
      <c r="G142" s="6">
        <f t="shared" si="12"/>
        <v>44.2025974025974</v>
      </c>
      <c r="H142" s="61">
        <f t="shared" si="16"/>
        <v>1022.1999999999999</v>
      </c>
      <c r="I142" s="61">
        <f t="shared" si="14"/>
        <v>1074.1</v>
      </c>
    </row>
    <row r="143" spans="1:9" s="2" customFormat="1" ht="18" hidden="1">
      <c r="A143" s="18" t="s">
        <v>97</v>
      </c>
      <c r="B143" s="73"/>
      <c r="C143" s="53"/>
      <c r="D143" s="76"/>
      <c r="E143" s="17">
        <f>D143/D107*100</f>
        <v>0</v>
      </c>
      <c r="F143" s="99" t="e">
        <f>D143/B143*100</f>
        <v>#DIV/0!</v>
      </c>
      <c r="G143" s="6" t="e">
        <f t="shared" si="12"/>
        <v>#DIV/0!</v>
      </c>
      <c r="H143" s="61">
        <f t="shared" si="16"/>
        <v>0</v>
      </c>
      <c r="I143" s="61">
        <f t="shared" si="14"/>
        <v>0</v>
      </c>
    </row>
    <row r="144" spans="1:10" s="2" customFormat="1" ht="18">
      <c r="A144" s="18" t="s">
        <v>102</v>
      </c>
      <c r="B144" s="73">
        <v>44928.9</v>
      </c>
      <c r="C144" s="53">
        <f>67967+150-2500-1878-220-5896.7+475</f>
        <v>58097.3</v>
      </c>
      <c r="D144" s="76">
        <f>2189.1+2579.7+68.9+525.7+232.8+205.1+14+182+44.6+100.3+189.9+11.2+127+188.8+69.4+131.7+84.3+48.1+145.2+164.4+282.5+2057+0.1+4.7+884.5+257+126.5+89.5+69.2+64+1270.4+177.7+6.2+77.9+311.3-0.1+187.5+243.6+833.7+134.4+194.7+0.6+250.6-0.1+141.2+292.3+801.4+477.6+359.1+87.9+633.3+568.8+0.1+245.3+67.1+500+24.1+26.4+244.7+611.8+3.5+306.6+354+37.5+2529.5+310.1+1394.5+1049.5+504.2+1053+1276.6+101.5+139.1+125.7+123.1+93.4+409.7+2609.8+3+32.4-206.3+452.9+1526.7+153.6</f>
        <v>34290.299999999996</v>
      </c>
      <c r="E144" s="17">
        <f>D144/D107*100</f>
        <v>9.474897957153608</v>
      </c>
      <c r="F144" s="99">
        <f t="shared" si="17"/>
        <v>76.32125424837909</v>
      </c>
      <c r="G144" s="6">
        <f t="shared" si="12"/>
        <v>59.022192081215465</v>
      </c>
      <c r="H144" s="61">
        <f t="shared" si="16"/>
        <v>10638.600000000006</v>
      </c>
      <c r="I144" s="61">
        <f t="shared" si="14"/>
        <v>23807.000000000007</v>
      </c>
      <c r="J144" s="131"/>
    </row>
    <row r="145" spans="1:9" s="2" customFormat="1" ht="18" hidden="1">
      <c r="A145" s="18" t="s">
        <v>87</v>
      </c>
      <c r="B145" s="73"/>
      <c r="C145" s="53"/>
      <c r="D145" s="76"/>
      <c r="E145" s="17">
        <f>D145/D107*100</f>
        <v>0</v>
      </c>
      <c r="F145" s="99" t="e">
        <f t="shared" si="17"/>
        <v>#DIV/0!</v>
      </c>
      <c r="G145" s="6" t="e">
        <f t="shared" si="12"/>
        <v>#DIV/0!</v>
      </c>
      <c r="H145" s="61">
        <f t="shared" si="16"/>
        <v>0</v>
      </c>
      <c r="I145" s="61">
        <f t="shared" si="14"/>
        <v>0</v>
      </c>
    </row>
    <row r="146" spans="1:9" s="2" customFormat="1" ht="18">
      <c r="A146" s="16" t="s">
        <v>103</v>
      </c>
      <c r="B146" s="73">
        <v>182.1</v>
      </c>
      <c r="C146" s="53">
        <v>234</v>
      </c>
      <c r="D146" s="76">
        <f>19.2+57.2+56</f>
        <v>132.4</v>
      </c>
      <c r="E146" s="17">
        <f>D146/D107*100</f>
        <v>0.036584004500606226</v>
      </c>
      <c r="F146" s="99">
        <f t="shared" si="17"/>
        <v>72.7073036792971</v>
      </c>
      <c r="G146" s="6">
        <f t="shared" si="12"/>
        <v>56.58119658119658</v>
      </c>
      <c r="H146" s="61">
        <f t="shared" si="16"/>
        <v>49.69999999999999</v>
      </c>
      <c r="I146" s="61">
        <f t="shared" si="14"/>
        <v>101.6</v>
      </c>
    </row>
    <row r="147" spans="1:12" s="2" customFormat="1" ht="18.75" customHeight="1">
      <c r="A147" s="16" t="s">
        <v>78</v>
      </c>
      <c r="B147" s="73">
        <v>9142.1</v>
      </c>
      <c r="C147" s="53">
        <v>10550.8</v>
      </c>
      <c r="D147" s="76">
        <f>1601.8+39.7+92.5+565.2+121.3+853.6+638.8+424+800.9+24.5+1.5+318.7+33.7+748.2+470.6+626.9+12.3+30.7-0.1+883.3+49.6+651.7</f>
        <v>8989.4</v>
      </c>
      <c r="E147" s="17">
        <f>D147/D107*100</f>
        <v>2.4838991696204653</v>
      </c>
      <c r="F147" s="99">
        <f t="shared" si="17"/>
        <v>98.3297054287308</v>
      </c>
      <c r="G147" s="6">
        <f t="shared" si="12"/>
        <v>85.20112218978656</v>
      </c>
      <c r="H147" s="61">
        <f t="shared" si="16"/>
        <v>152.70000000000073</v>
      </c>
      <c r="I147" s="61">
        <f t="shared" si="14"/>
        <v>1561.3999999999996</v>
      </c>
      <c r="K147" s="38"/>
      <c r="L147" s="38"/>
    </row>
    <row r="148" spans="1:12" s="2" customFormat="1" ht="19.5" customHeight="1">
      <c r="A148" s="16" t="s">
        <v>51</v>
      </c>
      <c r="B148" s="73">
        <f>285791.2+1734.2</f>
        <v>287525.4</v>
      </c>
      <c r="C148" s="53">
        <f>376354.8-1000+14285.9-198-200-300-15786.4-2950-2519.8+7938.3-13756.7+0.7+204.9</f>
        <v>362073.7</v>
      </c>
      <c r="D148" s="76">
        <f>69938.3+2324.7+1312.6+155+2603.6+1211+415+5415.4+691.3+550.4+1878.3+788.4+1157.7+1447.6+460+220+1003.2+463.4+1549.4+4235.7+2898+282.5+3333.1+1785.1+3361.2+766.9+2135.7+2288.9+1770.1+551.3+928.7+3247.1+12763.1+0.2+5806.9+3524+1955.7+2441.8+6692.3+9547.9+4208+149+2341.5+6647.9+6100.5+5342+5745.9+2276.6+3584+3904+2251.7+8852.6+204.9+7853.7+1191.2+1363.7+1934+6288.3+1861.2+2038.1+69.6+2351.7+1815.8+1186.3+2291.2+574.5-204.9+450.3+17.9+401.5+897.7+5.1+197.4+617.7+2447.4+914+459+3280.8</f>
        <v>255813.30000000002</v>
      </c>
      <c r="E148" s="17">
        <f>D148/D107*100</f>
        <v>70.68485588002214</v>
      </c>
      <c r="F148" s="6">
        <f t="shared" si="17"/>
        <v>88.97067876438047</v>
      </c>
      <c r="G148" s="6">
        <f t="shared" si="12"/>
        <v>70.65227328027416</v>
      </c>
      <c r="H148" s="61">
        <f t="shared" si="16"/>
        <v>31712.100000000006</v>
      </c>
      <c r="I148" s="61">
        <f t="shared" si="14"/>
        <v>106260.4</v>
      </c>
      <c r="K148" s="91"/>
      <c r="L148" s="38"/>
    </row>
    <row r="149" spans="1:12" s="2" customFormat="1" ht="18">
      <c r="A149" s="16" t="s">
        <v>104</v>
      </c>
      <c r="B149" s="73">
        <v>24571</v>
      </c>
      <c r="C149" s="53">
        <v>29485.2</v>
      </c>
      <c r="D149" s="76">
        <f>819+819+819.1+819+819+819.1+819+819+819.1+819+819+819.1+819.1+819+819+819+819.1+819+819+819+819.1+819+819+819.1+819+819+819.1+819</f>
        <v>22932.899999999998</v>
      </c>
      <c r="E149" s="17">
        <f>D149/D107*100</f>
        <v>6.336686682869732</v>
      </c>
      <c r="F149" s="6">
        <f t="shared" si="15"/>
        <v>93.33319767205242</v>
      </c>
      <c r="G149" s="6">
        <f t="shared" si="12"/>
        <v>77.77766472671034</v>
      </c>
      <c r="H149" s="61">
        <f t="shared" si="16"/>
        <v>1638.1000000000022</v>
      </c>
      <c r="I149" s="61">
        <f t="shared" si="14"/>
        <v>6552.300000000003</v>
      </c>
      <c r="K149" s="38"/>
      <c r="L149" s="38"/>
    </row>
    <row r="150" spans="1:12" s="2" customFormat="1" ht="18.75" thickBot="1">
      <c r="A150" s="34" t="s">
        <v>30</v>
      </c>
      <c r="B150" s="77">
        <f>B43+B69+B72+B77+B79+B87+B102+B107+B100+B84+B98</f>
        <v>428378.50000000006</v>
      </c>
      <c r="C150" s="77">
        <f>C43+C69+C72+C77+C79+C87+C102+C107+C100+C84+C98</f>
        <v>536006.4</v>
      </c>
      <c r="D150" s="53">
        <f>D43+D69+D72+D77+D79+D87+D102+D107+D100+D84+D98</f>
        <v>370693.20000000007</v>
      </c>
      <c r="E150" s="17"/>
      <c r="F150" s="17"/>
      <c r="G150" s="6"/>
      <c r="H150" s="61"/>
      <c r="I150" s="53"/>
      <c r="K150" s="38"/>
      <c r="L150" s="38"/>
    </row>
    <row r="151" spans="1:12" ht="18.75" thickBot="1">
      <c r="A151" s="13" t="s">
        <v>18</v>
      </c>
      <c r="B151" s="47">
        <f>B6+B18+B33+B43+B51+B59+B69+B72+B77+B79+B87+B90+B95+B102+B107+B100+B84+B98+B45</f>
        <v>1546541.3</v>
      </c>
      <c r="C151" s="47">
        <f>C6+C18+C33+C43+C51+C59+C69+C72+C77+C79+C87+C90+C95+C102+C107+C100+C84+C98+C45</f>
        <v>1875370.4999999995</v>
      </c>
      <c r="D151" s="47">
        <f>D6+D18+D33+D43+D51+D59+D69+D72+D77+D79+D87+D90+D95+D102+D107+D100+D84+D98+D45</f>
        <v>1346923.0000000002</v>
      </c>
      <c r="E151" s="31">
        <v>100</v>
      </c>
      <c r="F151" s="3">
        <f>D151/B151*100</f>
        <v>87.09259817374424</v>
      </c>
      <c r="G151" s="3">
        <f aca="true" t="shared" si="18" ref="G151:G157">D151/C151*100</f>
        <v>71.82170136514361</v>
      </c>
      <c r="H151" s="47">
        <f aca="true" t="shared" si="19" ref="H151:H157">B151-D151</f>
        <v>199618.2999999998</v>
      </c>
      <c r="I151" s="47">
        <f aca="true" t="shared" si="20" ref="I151:I157">C151-D151</f>
        <v>528447.4999999993</v>
      </c>
      <c r="K151" s="39"/>
      <c r="L151" s="40"/>
    </row>
    <row r="152" spans="1:12" ht="18">
      <c r="A152" s="18" t="s">
        <v>5</v>
      </c>
      <c r="B152" s="60">
        <f>B8+B20+B34+B52+B60+B91+B115+B119+B46+B140+B131+B103</f>
        <v>614336.8999999999</v>
      </c>
      <c r="C152" s="60">
        <f>C8+C20+C34+C52+C60+C91+C115+C119+C46+C140+C131+C103</f>
        <v>737272.2999999999</v>
      </c>
      <c r="D152" s="60">
        <f>D8+D20+D34+D52+D60+D91+D115+D119+D46+D140+D131+D103</f>
        <v>536643.8999999998</v>
      </c>
      <c r="E152" s="6">
        <f>D152/D151*100</f>
        <v>39.84221072771047</v>
      </c>
      <c r="F152" s="6">
        <f aca="true" t="shared" si="21" ref="F152:F157">D152/B152*100</f>
        <v>87.35335611453583</v>
      </c>
      <c r="G152" s="6">
        <f t="shared" si="18"/>
        <v>72.78774748488446</v>
      </c>
      <c r="H152" s="61">
        <f t="shared" si="19"/>
        <v>77693.00000000012</v>
      </c>
      <c r="I152" s="72">
        <f t="shared" si="20"/>
        <v>200628.40000000014</v>
      </c>
      <c r="K152" s="39"/>
      <c r="L152" s="40"/>
    </row>
    <row r="153" spans="1:12" ht="18">
      <c r="A153" s="18" t="s">
        <v>0</v>
      </c>
      <c r="B153" s="61">
        <f>B11+B23+B36+B55+B62+B92+B49+B141+B109+B112+B96+B138</f>
        <v>75254.7</v>
      </c>
      <c r="C153" s="61">
        <f>C11+C23+C36+C55+C62+C92+C49+C141+C109+C112+C96+C138</f>
        <v>102533.8</v>
      </c>
      <c r="D153" s="61">
        <f>D11+D23+D36+D55+D62+D92+D49+D141+D109+D112+D96+D138</f>
        <v>60239.50000000001</v>
      </c>
      <c r="E153" s="6">
        <f>D153/D151*100</f>
        <v>4.472378896195254</v>
      </c>
      <c r="F153" s="6">
        <f t="shared" si="21"/>
        <v>80.04749205033043</v>
      </c>
      <c r="G153" s="6">
        <f t="shared" si="18"/>
        <v>58.750870444672884</v>
      </c>
      <c r="H153" s="61">
        <f t="shared" si="19"/>
        <v>15015.19999999999</v>
      </c>
      <c r="I153" s="72">
        <f t="shared" si="20"/>
        <v>42294.299999999996</v>
      </c>
      <c r="K153" s="39"/>
      <c r="L153" s="90"/>
    </row>
    <row r="154" spans="1:12" ht="18">
      <c r="A154" s="18" t="s">
        <v>1</v>
      </c>
      <c r="B154" s="60">
        <f>B22+B10+B54+B48+B61+B35+B123</f>
        <v>25556.600000000002</v>
      </c>
      <c r="C154" s="60">
        <f>C22+C10+C54+C48+C61+C35+C123</f>
        <v>28689.7</v>
      </c>
      <c r="D154" s="60">
        <f>D22+D10+D54+D48+D61+D35+D123</f>
        <v>24036.6</v>
      </c>
      <c r="E154" s="6">
        <f>D154/D151*100</f>
        <v>1.7845563554857995</v>
      </c>
      <c r="F154" s="6">
        <f t="shared" si="21"/>
        <v>94.05241698817525</v>
      </c>
      <c r="G154" s="6">
        <f t="shared" si="18"/>
        <v>83.78128736096926</v>
      </c>
      <c r="H154" s="61">
        <f t="shared" si="19"/>
        <v>1520.0000000000036</v>
      </c>
      <c r="I154" s="72">
        <f t="shared" si="20"/>
        <v>4653.100000000002</v>
      </c>
      <c r="K154" s="39"/>
      <c r="L154" s="40"/>
    </row>
    <row r="155" spans="1:12" ht="21" customHeight="1">
      <c r="A155" s="18" t="s">
        <v>14</v>
      </c>
      <c r="B155" s="60">
        <f>B12+B24+B104+B63+B38+B93+B129+B56+B136</f>
        <v>20986.599999999995</v>
      </c>
      <c r="C155" s="60">
        <f>C12+C24+C104+C63+C38+C93+C129+C56+C136</f>
        <v>25978.7</v>
      </c>
      <c r="D155" s="60">
        <f>D12+D24+D104+D63+D38+D93+D129+D56+D136</f>
        <v>15688.899999999994</v>
      </c>
      <c r="E155" s="6">
        <f>D155/D151*100</f>
        <v>1.1647956119243634</v>
      </c>
      <c r="F155" s="6">
        <f t="shared" si="21"/>
        <v>74.75674954494772</v>
      </c>
      <c r="G155" s="6">
        <f t="shared" si="18"/>
        <v>60.39139756800761</v>
      </c>
      <c r="H155" s="61">
        <f>B155-D155</f>
        <v>5297.700000000001</v>
      </c>
      <c r="I155" s="72">
        <f t="shared" si="20"/>
        <v>10289.800000000007</v>
      </c>
      <c r="K155" s="39"/>
      <c r="L155" s="90"/>
    </row>
    <row r="156" spans="1:12" ht="18">
      <c r="A156" s="18" t="s">
        <v>2</v>
      </c>
      <c r="B156" s="60">
        <f>B9+B21+B47+B53+B122</f>
        <v>98.1</v>
      </c>
      <c r="C156" s="60">
        <f>C9+C21+C47+C53+C122</f>
        <v>106.9</v>
      </c>
      <c r="D156" s="60">
        <f>D9+D21+D47+D53+D122</f>
        <v>39.5</v>
      </c>
      <c r="E156" s="6">
        <f>D156/D151*100</f>
        <v>0.0029326101046607705</v>
      </c>
      <c r="F156" s="6">
        <f t="shared" si="21"/>
        <v>40.265035677879716</v>
      </c>
      <c r="G156" s="6">
        <f t="shared" si="18"/>
        <v>36.950420954162766</v>
      </c>
      <c r="H156" s="61">
        <f t="shared" si="19"/>
        <v>58.599999999999994</v>
      </c>
      <c r="I156" s="72">
        <f t="shared" si="20"/>
        <v>67.4</v>
      </c>
      <c r="K156" s="39"/>
      <c r="L156" s="40"/>
    </row>
    <row r="157" spans="1:12" ht="18.75" thickBot="1">
      <c r="A157" s="125" t="s">
        <v>28</v>
      </c>
      <c r="B157" s="78">
        <f>B151-B152-B153-B154-B155-B156</f>
        <v>810308.4000000003</v>
      </c>
      <c r="C157" s="78">
        <f>C151-C152-C153-C154-C155-C156</f>
        <v>980789.0999999997</v>
      </c>
      <c r="D157" s="78">
        <f>D151-D152-D153-D154-D155-D156</f>
        <v>710274.6000000004</v>
      </c>
      <c r="E157" s="36">
        <f>D157/D151*100</f>
        <v>52.73312579857945</v>
      </c>
      <c r="F157" s="36">
        <f t="shared" si="21"/>
        <v>87.65484845029377</v>
      </c>
      <c r="G157" s="36">
        <f t="shared" si="18"/>
        <v>72.4186881766937</v>
      </c>
      <c r="H157" s="126">
        <f t="shared" si="19"/>
        <v>100033.79999999981</v>
      </c>
      <c r="I157" s="126">
        <f t="shared" si="20"/>
        <v>270514.4999999993</v>
      </c>
      <c r="K157" s="39"/>
      <c r="L157" s="90"/>
    </row>
    <row r="158" spans="7:8" ht="12.75">
      <c r="G158" s="20"/>
      <c r="H158" s="20"/>
    </row>
    <row r="159" spans="7:9" ht="12.75">
      <c r="G159" s="20"/>
      <c r="H159" s="20"/>
      <c r="I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2:8" ht="12.75">
      <c r="B164" s="130"/>
      <c r="C164" s="130"/>
      <c r="D164" s="130"/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  <row r="396" spans="7:8" ht="12.75">
      <c r="G396" s="20"/>
      <c r="H396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7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фінансування'!C151</f>
        <v>1875370.4999999995</v>
      </c>
    </row>
    <row r="2" spans="1:5" ht="15">
      <c r="A2" s="4"/>
      <c r="B2" s="4"/>
      <c r="C2" s="4"/>
      <c r="D2" s="4" t="s">
        <v>32</v>
      </c>
      <c r="E2" s="5">
        <f>'аналіз фінансування'!D151</f>
        <v>1346923.0000000002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37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50390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фінансування'!C151</f>
        <v>1875370.4999999995</v>
      </c>
    </row>
    <row r="2" spans="1:5" ht="15">
      <c r="A2" s="4"/>
      <c r="B2" s="4"/>
      <c r="C2" s="4"/>
      <c r="D2" s="4" t="s">
        <v>32</v>
      </c>
      <c r="E2" s="5">
        <f>'аналіз фінансування'!D151</f>
        <v>1346923.0000000002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2017-10-13T10:33:45Z</cp:lastPrinted>
  <dcterms:created xsi:type="dcterms:W3CDTF">2000-06-20T04:48:00Z</dcterms:created>
  <dcterms:modified xsi:type="dcterms:W3CDTF">2017-10-13T10:34:47Z</dcterms:modified>
  <cp:category/>
  <cp:version/>
  <cp:contentType/>
  <cp:contentStatus/>
</cp:coreProperties>
</file>